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6585" windowHeight="8190" activeTab="0"/>
  </bookViews>
  <sheets>
    <sheet name="Scores" sheetId="1" r:id="rId1"/>
    <sheet name="Recap" sheetId="2" r:id="rId2"/>
    <sheet name="Results" sheetId="3" r:id="rId3"/>
    <sheet name="Finals Timing" sheetId="4" r:id="rId4"/>
  </sheets>
  <definedNames>
    <definedName name="_xlnm.Print_Area" localSheetId="3">'Finals Timing'!$B$1:$F$14</definedName>
    <definedName name="_xlnm.Print_Area" localSheetId="1">'Recap'!$A$1:$O$28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9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<sst xmlns="http://schemas.openxmlformats.org/spreadsheetml/2006/main" count="137" uniqueCount="68">
  <si>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</si>
  <si>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</si>
  <si>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</si>
  <si>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</si>
  <si>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</si>
  <si>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</si>
  <si>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</si>
  <si>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</si>
  <si>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</si>
  <si>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</si>
  <si>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</si>
  <si>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</si>
  <si>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</si>
  <si>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</si>
  <si>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</si>
  <si>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</si>
  <si>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VISUAL</t>
  </si>
  <si>
    <t>OVERALL BAND</t>
  </si>
  <si>
    <t>TOTAL</t>
  </si>
  <si>
    <t>GEN EFFECT</t>
  </si>
  <si>
    <t>PENALTIES</t>
  </si>
  <si>
    <t>FINAL SCORE</t>
  </si>
  <si>
    <t>MR</t>
  </si>
  <si>
    <t>VR</t>
  </si>
  <si>
    <t>Warm-Up</t>
  </si>
  <si>
    <t>Area</t>
  </si>
  <si>
    <t>Depart</t>
  </si>
  <si>
    <t>Perform</t>
  </si>
  <si>
    <t>#1</t>
  </si>
  <si>
    <t>A</t>
  </si>
  <si>
    <t>#4</t>
  </si>
  <si>
    <t>B</t>
  </si>
  <si>
    <t>#2</t>
  </si>
  <si>
    <t>#5</t>
  </si>
  <si>
    <t>#3</t>
  </si>
  <si>
    <t>#6</t>
  </si>
  <si>
    <t>FINALIST</t>
  </si>
  <si>
    <t>Performance times were selected by random drawing.  Please make sure that you coordinate times with site director.</t>
  </si>
  <si>
    <t>AVG</t>
  </si>
  <si>
    <t>Band</t>
  </si>
  <si>
    <t>Score</t>
  </si>
  <si>
    <t>RESULTS</t>
  </si>
  <si>
    <t>MHSAA-MBA STATE MARCHING BAND FINALS</t>
  </si>
  <si>
    <t>Music Performance - 40%</t>
  </si>
  <si>
    <t>Marching - Visual - 30%</t>
  </si>
  <si>
    <t>GE Music - 15%</t>
  </si>
  <si>
    <t>GE Visual - 15%</t>
  </si>
  <si>
    <t>PQ</t>
  </si>
  <si>
    <t>CMP</t>
  </si>
  <si>
    <t>Tot</t>
  </si>
  <si>
    <t>EXC</t>
  </si>
  <si>
    <t>Avg</t>
  </si>
  <si>
    <t>RETREAT and AWARDS</t>
  </si>
  <si>
    <t>CONCLUSION</t>
  </si>
  <si>
    <t>CLASS 5A</t>
  </si>
  <si>
    <t>MP</t>
  </si>
  <si>
    <t>VF</t>
  </si>
  <si>
    <r>
      <t xml:space="preserve">2009 MHSAA-MBA STATE MARCHING BAND CHAMPIONSHIP - </t>
    </r>
    <r>
      <rPr>
        <b/>
        <i/>
        <sz val="14"/>
        <color indexed="10"/>
        <rFont val="Arial"/>
        <family val="2"/>
      </rPr>
      <t>PRELIMINARY ROUND</t>
    </r>
  </si>
  <si>
    <t>October 24, 2009 - Pearl, MS</t>
  </si>
  <si>
    <t>Wayne County</t>
  </si>
  <si>
    <t>West Harrison</t>
  </si>
  <si>
    <t>Long Beach</t>
  </si>
  <si>
    <t>Ridgeland</t>
  </si>
  <si>
    <t>Vancleave</t>
  </si>
  <si>
    <t>Saltillo</t>
  </si>
  <si>
    <t>Stone</t>
  </si>
  <si>
    <t>Pearl</t>
  </si>
  <si>
    <t>New Hope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</si>
</sst>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[$-409]dddd\,\ mmmm\ dd\,\ yyyy"/>
    <numFmt numFmtId="168" formatCode="[$-F800]dddd\,\ mmmm\ dd\,\ yyyy"/>
  </numFmts>
  <fonts count="54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61"/>
      <name val="Arial"/>
      <family val="2"/>
    </font>
    <font>
      <b/>
      <sz val="12"/>
      <name val="Tahoma"/>
      <family val="2"/>
    </font>
    <font>
      <b/>
      <i/>
      <sz val="14"/>
      <color indexed="10"/>
      <name val="Arial"/>
      <family val="2"/>
    </font>
    <font>
      <b/>
      <i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tted"/>
      <right style="double"/>
      <top style="double"/>
      <bottom style="thin"/>
    </border>
    <border>
      <left style="dotted"/>
      <right style="double"/>
      <top style="thin"/>
      <bottom style="double"/>
    </border>
    <border>
      <left style="dotted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5" fillId="8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/>
      <protection locked="0"/>
    </xf>
    <xf numFmtId="165" fontId="16" fillId="0" borderId="13" xfId="0" applyNumberFormat="1" applyFont="1" applyFill="1" applyBorder="1" applyAlignment="1" applyProtection="1">
      <alignment/>
      <protection locked="0"/>
    </xf>
    <xf numFmtId="165" fontId="16" fillId="0" borderId="14" xfId="0" applyNumberFormat="1" applyFont="1" applyFill="1" applyBorder="1" applyAlignment="1" applyProtection="1">
      <alignment/>
      <protection locked="0"/>
    </xf>
    <xf numFmtId="165" fontId="16" fillId="0" borderId="15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 applyProtection="1">
      <alignment horizontal="center" shrinkToFit="1"/>
      <protection/>
    </xf>
    <xf numFmtId="0" fontId="9" fillId="0" borderId="19" xfId="0" applyFont="1" applyFill="1" applyBorder="1" applyAlignment="1" applyProtection="1">
      <alignment horizontal="center" shrinkToFit="1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8" borderId="19" xfId="0" applyFont="1" applyFill="1" applyBorder="1" applyAlignment="1" applyProtection="1">
      <alignment horizontal="center" vertical="center"/>
      <protection/>
    </xf>
    <xf numFmtId="166" fontId="7" fillId="8" borderId="21" xfId="0" applyNumberFormat="1" applyFont="1" applyFill="1" applyBorder="1" applyAlignment="1" applyProtection="1">
      <alignment horizontal="center" vertical="center"/>
      <protection/>
    </xf>
    <xf numFmtId="0" fontId="8" fillId="8" borderId="22" xfId="0" applyFont="1" applyFill="1" applyBorder="1" applyAlignment="1" applyProtection="1">
      <alignment horizontal="center" vertical="center"/>
      <protection/>
    </xf>
    <xf numFmtId="0" fontId="8" fillId="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8" borderId="23" xfId="0" applyFont="1" applyFill="1" applyBorder="1" applyAlignment="1" applyProtection="1">
      <alignment horizontal="center" vertical="center"/>
      <protection/>
    </xf>
    <xf numFmtId="0" fontId="5" fillId="8" borderId="24" xfId="0" applyFont="1" applyFill="1" applyBorder="1" applyAlignment="1" applyProtection="1">
      <alignment horizontal="center" vertical="center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8" fillId="22" borderId="22" xfId="0" applyFont="1" applyFill="1" applyBorder="1" applyAlignment="1" applyProtection="1">
      <alignment horizontal="center" vertical="center"/>
      <protection/>
    </xf>
    <xf numFmtId="0" fontId="9" fillId="22" borderId="25" xfId="0" applyFont="1" applyFill="1" applyBorder="1" applyAlignment="1" applyProtection="1">
      <alignment horizontal="center"/>
      <protection/>
    </xf>
    <xf numFmtId="0" fontId="9" fillId="22" borderId="26" xfId="0" applyFont="1" applyFill="1" applyBorder="1" applyAlignment="1" applyProtection="1">
      <alignment horizontal="center"/>
      <protection/>
    </xf>
    <xf numFmtId="0" fontId="10" fillId="22" borderId="27" xfId="0" applyFont="1" applyFill="1" applyBorder="1" applyAlignment="1">
      <alignment horizontal="center"/>
    </xf>
    <xf numFmtId="0" fontId="5" fillId="22" borderId="23" xfId="0" applyFont="1" applyFill="1" applyBorder="1" applyAlignment="1" applyProtection="1">
      <alignment horizontal="center" vertical="center" shrinkToFit="1"/>
      <protection/>
    </xf>
    <xf numFmtId="0" fontId="5" fillId="22" borderId="24" xfId="0" applyFont="1" applyFill="1" applyBorder="1" applyAlignment="1" applyProtection="1">
      <alignment horizontal="center" vertical="center" shrinkToFit="1"/>
      <protection/>
    </xf>
    <xf numFmtId="0" fontId="5" fillId="8" borderId="23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166" fontId="8" fillId="8" borderId="21" xfId="0" applyNumberFormat="1" applyFont="1" applyFill="1" applyBorder="1" applyAlignment="1" applyProtection="1">
      <alignment vertical="center"/>
      <protection/>
    </xf>
    <xf numFmtId="166" fontId="8" fillId="8" borderId="3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 wrapText="1"/>
      <protection/>
    </xf>
    <xf numFmtId="0" fontId="10" fillId="8" borderId="3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8" fillId="0" borderId="32" xfId="0" applyFont="1" applyBorder="1" applyAlignment="1">
      <alignment horizontal="center" shrinkToFit="1"/>
    </xf>
    <xf numFmtId="20" fontId="29" fillId="0" borderId="33" xfId="0" applyNumberFormat="1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8" fillId="0" borderId="10" xfId="0" applyFont="1" applyBorder="1" applyAlignment="1">
      <alignment horizontal="center" shrinkToFit="1"/>
    </xf>
    <xf numFmtId="20" fontId="29" fillId="0" borderId="34" xfId="0" applyNumberFormat="1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20" fontId="28" fillId="0" borderId="35" xfId="0" applyNumberFormat="1" applyFont="1" applyBorder="1" applyAlignment="1">
      <alignment horizontal="center"/>
    </xf>
    <xf numFmtId="20" fontId="28" fillId="0" borderId="19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0" fillId="0" borderId="36" xfId="0" applyFont="1" applyBorder="1" applyAlignment="1">
      <alignment horizontal="center" shrinkToFit="1"/>
    </xf>
    <xf numFmtId="166" fontId="0" fillId="0" borderId="37" xfId="0" applyNumberFormat="1" applyFont="1" applyBorder="1" applyAlignment="1">
      <alignment horizontal="center" shrinkToFit="1"/>
    </xf>
    <xf numFmtId="0" fontId="0" fillId="0" borderId="38" xfId="0" applyFont="1" applyBorder="1" applyAlignment="1">
      <alignment horizontal="center" shrinkToFit="1"/>
    </xf>
    <xf numFmtId="166" fontId="0" fillId="0" borderId="39" xfId="0" applyNumberFormat="1" applyFont="1" applyBorder="1" applyAlignment="1">
      <alignment horizontal="center" shrinkToFit="1"/>
    </xf>
    <xf numFmtId="0" fontId="1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8" fillId="24" borderId="40" xfId="0" applyFont="1" applyFill="1" applyBorder="1" applyAlignment="1">
      <alignment horizontal="center"/>
    </xf>
    <xf numFmtId="0" fontId="28" fillId="24" borderId="41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5" fillId="24" borderId="27" xfId="0" applyFont="1" applyFill="1" applyBorder="1" applyAlignment="1" applyProtection="1">
      <alignment horizontal="center" vertical="center"/>
      <protection/>
    </xf>
    <xf numFmtId="0" fontId="9" fillId="24" borderId="42" xfId="0" applyFont="1" applyFill="1" applyBorder="1" applyAlignment="1">
      <alignment horizontal="center"/>
    </xf>
    <xf numFmtId="0" fontId="9" fillId="24" borderId="43" xfId="0" applyFont="1" applyFill="1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28" fillId="0" borderId="44" xfId="0" applyFont="1" applyBorder="1" applyAlignment="1">
      <alignment horizontal="center" shrinkToFit="1"/>
    </xf>
    <xf numFmtId="20" fontId="29" fillId="0" borderId="45" xfId="0" applyNumberFormat="1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20" fontId="28" fillId="0" borderId="46" xfId="0" applyNumberFormat="1" applyFont="1" applyBorder="1" applyAlignment="1">
      <alignment horizontal="center"/>
    </xf>
    <xf numFmtId="166" fontId="12" fillId="4" borderId="21" xfId="0" applyNumberFormat="1" applyFont="1" applyFill="1" applyBorder="1" applyAlignment="1" applyProtection="1">
      <alignment horizontal="center" vertical="center"/>
      <protection/>
    </xf>
    <xf numFmtId="166" fontId="12" fillId="22" borderId="2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9" fillId="8" borderId="31" xfId="0" applyFont="1" applyFill="1" applyBorder="1" applyAlignment="1" applyProtection="1">
      <alignment horizontal="center"/>
      <protection/>
    </xf>
    <xf numFmtId="9" fontId="32" fillId="8" borderId="27" xfId="0" applyNumberFormat="1" applyFont="1" applyFill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165" fontId="33" fillId="0" borderId="13" xfId="0" applyNumberFormat="1" applyFont="1" applyFill="1" applyBorder="1" applyAlignment="1" applyProtection="1">
      <alignment/>
      <protection/>
    </xf>
    <xf numFmtId="166" fontId="15" fillId="0" borderId="47" xfId="0" applyNumberFormat="1" applyFont="1" applyFill="1" applyBorder="1" applyAlignment="1">
      <alignment shrinkToFit="1"/>
    </xf>
    <xf numFmtId="2" fontId="27" fillId="0" borderId="13" xfId="0" applyNumberFormat="1" applyFont="1" applyFill="1" applyBorder="1" applyAlignment="1" applyProtection="1">
      <alignment/>
      <protection/>
    </xf>
    <xf numFmtId="166" fontId="15" fillId="0" borderId="47" xfId="0" applyNumberFormat="1" applyFont="1" applyFill="1" applyBorder="1" applyAlignment="1">
      <alignment/>
    </xf>
    <xf numFmtId="165" fontId="33" fillId="0" borderId="15" xfId="0" applyNumberFormat="1" applyFont="1" applyFill="1" applyBorder="1" applyAlignment="1" applyProtection="1">
      <alignment/>
      <protection/>
    </xf>
    <xf numFmtId="166" fontId="15" fillId="0" borderId="48" xfId="0" applyNumberFormat="1" applyFont="1" applyFill="1" applyBorder="1" applyAlignment="1">
      <alignment shrinkToFit="1"/>
    </xf>
    <xf numFmtId="2" fontId="27" fillId="0" borderId="15" xfId="0" applyNumberFormat="1" applyFont="1" applyFill="1" applyBorder="1" applyAlignment="1" applyProtection="1">
      <alignment/>
      <protection/>
    </xf>
    <xf numFmtId="166" fontId="15" fillId="0" borderId="48" xfId="0" applyNumberFormat="1" applyFont="1" applyFill="1" applyBorder="1" applyAlignment="1">
      <alignment/>
    </xf>
    <xf numFmtId="166" fontId="15" fillId="0" borderId="49" xfId="0" applyNumberFormat="1" applyFont="1" applyFill="1" applyBorder="1" applyAlignment="1">
      <alignment shrinkToFit="1"/>
    </xf>
    <xf numFmtId="166" fontId="12" fillId="0" borderId="50" xfId="0" applyNumberFormat="1" applyFont="1" applyFill="1" applyBorder="1" applyAlignment="1" applyProtection="1">
      <alignment horizontal="center" vertical="center"/>
      <protection/>
    </xf>
    <xf numFmtId="166" fontId="12" fillId="0" borderId="21" xfId="0" applyNumberFormat="1" applyFont="1" applyFill="1" applyBorder="1" applyAlignment="1" applyProtection="1">
      <alignment horizontal="center" vertical="center"/>
      <protection/>
    </xf>
    <xf numFmtId="166" fontId="12" fillId="0" borderId="22" xfId="0" applyNumberFormat="1" applyFont="1" applyFill="1" applyBorder="1" applyAlignment="1" applyProtection="1">
      <alignment horizontal="center" vertical="center"/>
      <protection/>
    </xf>
    <xf numFmtId="2" fontId="8" fillId="7" borderId="30" xfId="0" applyNumberFormat="1" applyFont="1" applyFill="1" applyBorder="1" applyAlignment="1" applyProtection="1">
      <alignment horizontal="center" vertical="center"/>
      <protection locked="0"/>
    </xf>
    <xf numFmtId="20" fontId="28" fillId="0" borderId="18" xfId="0" applyNumberFormat="1" applyFont="1" applyBorder="1" applyAlignment="1">
      <alignment horizontal="center"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22" borderId="51" xfId="0" applyFont="1" applyFill="1" applyBorder="1" applyAlignment="1">
      <alignment horizontal="center"/>
    </xf>
    <xf numFmtId="0" fontId="9" fillId="22" borderId="52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165" fontId="16" fillId="0" borderId="53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55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56" xfId="0" applyNumberFormat="1" applyFont="1" applyFill="1" applyBorder="1" applyAlignment="1" applyProtection="1">
      <alignment horizontal="center" vertical="center" shrinkToFit="1"/>
      <protection locked="0"/>
    </xf>
    <xf numFmtId="166" fontId="15" fillId="0" borderId="49" xfId="0" applyNumberFormat="1" applyFont="1" applyFill="1" applyBorder="1" applyAlignment="1">
      <alignment horizontal="center" vertical="center" shrinkToFit="1"/>
    </xf>
    <xf numFmtId="166" fontId="15" fillId="0" borderId="57" xfId="0" applyNumberFormat="1" applyFont="1" applyFill="1" applyBorder="1" applyAlignment="1">
      <alignment horizontal="center" vertical="center" shrinkToFit="1"/>
    </xf>
    <xf numFmtId="0" fontId="9" fillId="4" borderId="51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166" fontId="15" fillId="0" borderId="58" xfId="0" applyNumberFormat="1" applyFont="1" applyFill="1" applyBorder="1" applyAlignment="1">
      <alignment horizontal="center" vertical="center" shrinkToFit="1"/>
    </xf>
    <xf numFmtId="166" fontId="15" fillId="0" borderId="59" xfId="0" applyNumberFormat="1" applyFont="1" applyFill="1" applyBorder="1" applyAlignment="1">
      <alignment horizontal="center" vertical="center" shrinkToFit="1"/>
    </xf>
    <xf numFmtId="165" fontId="33" fillId="0" borderId="55" xfId="0" applyNumberFormat="1" applyFont="1" applyFill="1" applyBorder="1" applyAlignment="1" applyProtection="1">
      <alignment horizontal="center" vertical="center" shrinkToFit="1"/>
      <protection/>
    </xf>
    <xf numFmtId="165" fontId="33" fillId="0" borderId="56" xfId="0" applyNumberFormat="1" applyFont="1" applyFill="1" applyBorder="1" applyAlignment="1" applyProtection="1">
      <alignment horizontal="center" vertical="center" shrinkToFit="1"/>
      <protection/>
    </xf>
    <xf numFmtId="2" fontId="33" fillId="0" borderId="55" xfId="0" applyNumberFormat="1" applyFont="1" applyFill="1" applyBorder="1" applyAlignment="1" applyProtection="1">
      <alignment horizontal="center" vertical="center" shrinkToFit="1"/>
      <protection/>
    </xf>
    <xf numFmtId="2" fontId="33" fillId="0" borderId="56" xfId="0" applyNumberFormat="1" applyFont="1" applyFill="1" applyBorder="1" applyAlignment="1" applyProtection="1">
      <alignment horizontal="center" vertical="center" shrinkToFit="1"/>
      <protection/>
    </xf>
    <xf numFmtId="0" fontId="17" fillId="0" borderId="51" xfId="0" applyFont="1" applyFill="1" applyBorder="1" applyAlignment="1" applyProtection="1">
      <alignment horizontal="center" vertical="center" shrinkToFit="1"/>
      <protection locked="0"/>
    </xf>
    <xf numFmtId="0" fontId="17" fillId="0" borderId="60" xfId="0" applyFont="1" applyFill="1" applyBorder="1" applyAlignment="1" applyProtection="1">
      <alignment horizontal="center" vertical="center" shrinkToFit="1"/>
      <protection locked="0"/>
    </xf>
    <xf numFmtId="0" fontId="9" fillId="8" borderId="51" xfId="0" applyFont="1" applyFill="1" applyBorder="1" applyAlignment="1">
      <alignment horizontal="center"/>
    </xf>
    <xf numFmtId="0" fontId="9" fillId="8" borderId="52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 shrinkToFit="1"/>
    </xf>
    <xf numFmtId="0" fontId="9" fillId="8" borderId="52" xfId="0" applyFont="1" applyFill="1" applyBorder="1" applyAlignment="1">
      <alignment horizontal="center" shrinkToFit="1"/>
    </xf>
    <xf numFmtId="0" fontId="9" fillId="8" borderId="11" xfId="0" applyFont="1" applyFill="1" applyBorder="1" applyAlignment="1">
      <alignment horizontal="center" shrinkToFit="1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8" borderId="63" xfId="0" applyFont="1" applyFill="1" applyBorder="1" applyAlignment="1" applyProtection="1">
      <alignment horizontal="center" vertical="center"/>
      <protection/>
    </xf>
    <xf numFmtId="0" fontId="5" fillId="8" borderId="51" xfId="0" applyFont="1" applyFill="1" applyBorder="1" applyAlignment="1" applyProtection="1">
      <alignment horizontal="center"/>
      <protection/>
    </xf>
    <xf numFmtId="0" fontId="5" fillId="8" borderId="52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5" fillId="4" borderId="64" xfId="0" applyFont="1" applyFill="1" applyBorder="1" applyAlignment="1" applyProtection="1">
      <alignment horizontal="center" vertical="center" wrapText="1"/>
      <protection/>
    </xf>
    <xf numFmtId="0" fontId="5" fillId="4" borderId="65" xfId="0" applyFont="1" applyFill="1" applyBorder="1" applyAlignment="1" applyProtection="1">
      <alignment horizontal="center" vertical="center" wrapText="1"/>
      <protection/>
    </xf>
    <xf numFmtId="0" fontId="5" fillId="22" borderId="51" xfId="0" applyFont="1" applyFill="1" applyBorder="1" applyAlignment="1" applyProtection="1">
      <alignment horizontal="center" vertical="center" shrinkToFit="1"/>
      <protection/>
    </xf>
    <xf numFmtId="0" fontId="5" fillId="22" borderId="11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8" borderId="61" xfId="0" applyFont="1" applyFill="1" applyBorder="1" applyAlignment="1" applyProtection="1">
      <alignment horizontal="center"/>
      <protection/>
    </xf>
    <xf numFmtId="0" fontId="5" fillId="8" borderId="6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66" fontId="12" fillId="0" borderId="70" xfId="0" applyNumberFormat="1" applyFont="1" applyFill="1" applyBorder="1" applyAlignment="1" applyProtection="1">
      <alignment horizontal="center" vertical="center"/>
      <protection/>
    </xf>
    <xf numFmtId="166" fontId="12" fillId="0" borderId="71" xfId="0" applyNumberFormat="1" applyFont="1" applyFill="1" applyBorder="1" applyAlignment="1" applyProtection="1">
      <alignment horizontal="center" vertical="center"/>
      <protection/>
    </xf>
    <xf numFmtId="0" fontId="36" fillId="0" borderId="51" xfId="0" applyFont="1" applyBorder="1" applyAlignment="1" applyProtection="1">
      <alignment horizontal="center" vertical="center" textRotation="255"/>
      <protection/>
    </xf>
    <xf numFmtId="0" fontId="36" fillId="0" borderId="52" xfId="0" applyFont="1" applyBorder="1" applyAlignment="1" applyProtection="1">
      <alignment horizontal="center" vertical="center" textRotation="255"/>
      <protection/>
    </xf>
    <xf numFmtId="0" fontId="36" fillId="0" borderId="11" xfId="0" applyFont="1" applyBorder="1" applyAlignment="1" applyProtection="1">
      <alignment horizontal="center" vertical="center" textRotation="255"/>
      <protection/>
    </xf>
    <xf numFmtId="0" fontId="36" fillId="0" borderId="72" xfId="0" applyFont="1" applyBorder="1" applyAlignment="1" applyProtection="1">
      <alignment horizontal="center" vertical="center" textRotation="255"/>
      <protection/>
    </xf>
    <xf numFmtId="0" fontId="36" fillId="0" borderId="0" xfId="0" applyFont="1" applyBorder="1" applyAlignment="1" applyProtection="1">
      <alignment horizontal="center" vertical="center" textRotation="255"/>
      <protection/>
    </xf>
    <xf numFmtId="0" fontId="36" fillId="0" borderId="73" xfId="0" applyFont="1" applyBorder="1" applyAlignment="1" applyProtection="1">
      <alignment horizontal="center" vertical="center" textRotation="255"/>
      <protection/>
    </xf>
    <xf numFmtId="0" fontId="36" fillId="0" borderId="60" xfId="0" applyFont="1" applyBorder="1" applyAlignment="1" applyProtection="1">
      <alignment horizontal="center" vertical="center" textRotation="255"/>
      <protection/>
    </xf>
    <xf numFmtId="0" fontId="36" fillId="0" borderId="66" xfId="0" applyFont="1" applyBorder="1" applyAlignment="1" applyProtection="1">
      <alignment horizontal="center" vertical="center" textRotation="255"/>
      <protection/>
    </xf>
    <xf numFmtId="0" fontId="36" fillId="0" borderId="17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8" borderId="74" xfId="0" applyFont="1" applyFill="1" applyBorder="1" applyAlignment="1" applyProtection="1">
      <alignment horizontal="center" vertical="center"/>
      <protection/>
    </xf>
    <xf numFmtId="0" fontId="5" fillId="8" borderId="75" xfId="0" applyFont="1" applyFill="1" applyBorder="1" applyAlignment="1" applyProtection="1">
      <alignment horizontal="center" vertical="center"/>
      <protection/>
    </xf>
    <xf numFmtId="0" fontId="5" fillId="8" borderId="76" xfId="0" applyFont="1" applyFill="1" applyBorder="1" applyAlignment="1" applyProtection="1">
      <alignment horizontal="center" vertical="center"/>
      <protection/>
    </xf>
    <xf numFmtId="0" fontId="5" fillId="8" borderId="77" xfId="0" applyFont="1" applyFill="1" applyBorder="1" applyAlignment="1" applyProtection="1">
      <alignment horizontal="center" vertical="center"/>
      <protection/>
    </xf>
    <xf numFmtId="0" fontId="5" fillId="8" borderId="78" xfId="0" applyFont="1" applyFill="1" applyBorder="1" applyAlignment="1" applyProtection="1">
      <alignment horizontal="center" vertical="center"/>
      <protection/>
    </xf>
    <xf numFmtId="0" fontId="5" fillId="8" borderId="79" xfId="0" applyFont="1" applyFill="1" applyBorder="1" applyAlignment="1" applyProtection="1">
      <alignment horizontal="center" vertical="center"/>
      <protection/>
    </xf>
    <xf numFmtId="0" fontId="5" fillId="8" borderId="80" xfId="0" applyFont="1" applyFill="1" applyBorder="1" applyAlignment="1" applyProtection="1">
      <alignment horizontal="center" vertical="center"/>
      <protection/>
    </xf>
    <xf numFmtId="166" fontId="12" fillId="0" borderId="50" xfId="0" applyNumberFormat="1" applyFont="1" applyFill="1" applyBorder="1" applyAlignment="1" applyProtection="1">
      <alignment horizontal="center" vertical="center"/>
      <protection/>
    </xf>
    <xf numFmtId="166" fontId="12" fillId="0" borderId="81" xfId="0" applyNumberFormat="1" applyFont="1" applyFill="1" applyBorder="1" applyAlignment="1" applyProtection="1">
      <alignment horizontal="center" vertical="center"/>
      <protection/>
    </xf>
    <xf numFmtId="0" fontId="5" fillId="24" borderId="82" xfId="0" applyFont="1" applyFill="1" applyBorder="1" applyAlignment="1" applyProtection="1">
      <alignment horizontal="center" vertical="center" wrapText="1"/>
      <protection/>
    </xf>
    <xf numFmtId="0" fontId="5" fillId="24" borderId="65" xfId="0" applyFont="1" applyFill="1" applyBorder="1" applyAlignment="1" applyProtection="1">
      <alignment horizontal="center" vertical="center" wrapText="1"/>
      <protection/>
    </xf>
    <xf numFmtId="0" fontId="5" fillId="24" borderId="51" xfId="0" applyFont="1" applyFill="1" applyBorder="1" applyAlignment="1" applyProtection="1">
      <alignment horizontal="center" vertical="center" shrinkToFit="1"/>
      <protection/>
    </xf>
    <xf numFmtId="0" fontId="5" fillId="24" borderId="11" xfId="0" applyFont="1" applyFill="1" applyBorder="1" applyAlignment="1" applyProtection="1">
      <alignment horizontal="center" vertical="center" shrinkToFit="1"/>
      <protection/>
    </xf>
    <xf numFmtId="0" fontId="5" fillId="24" borderId="51" xfId="0" applyFont="1" applyFill="1" applyBorder="1" applyAlignment="1" applyProtection="1">
      <alignment horizontal="center"/>
      <protection/>
    </xf>
    <xf numFmtId="0" fontId="5" fillId="24" borderId="11" xfId="0" applyFont="1" applyFill="1" applyBorder="1" applyAlignment="1" applyProtection="1">
      <alignment horizontal="center"/>
      <protection/>
    </xf>
    <xf numFmtId="0" fontId="9" fillId="24" borderId="74" xfId="0" applyFont="1" applyFill="1" applyBorder="1" applyAlignment="1">
      <alignment horizontal="center"/>
    </xf>
    <xf numFmtId="0" fontId="9" fillId="24" borderId="75" xfId="0" applyFont="1" applyFill="1" applyBorder="1" applyAlignment="1">
      <alignment horizontal="center"/>
    </xf>
    <xf numFmtId="0" fontId="5" fillId="24" borderId="61" xfId="0" applyFont="1" applyFill="1" applyBorder="1" applyAlignment="1" applyProtection="1">
      <alignment horizontal="center"/>
      <protection/>
    </xf>
    <xf numFmtId="0" fontId="5" fillId="24" borderId="69" xfId="0" applyFont="1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/>
      <protection/>
    </xf>
    <xf numFmtId="0" fontId="30" fillId="0" borderId="0" xfId="0" applyFont="1" applyAlignment="1">
      <alignment horizontal="left" vertical="center" wrapText="1"/>
    </xf>
    <xf numFmtId="0" fontId="31" fillId="0" borderId="66" xfId="0" applyFont="1" applyBorder="1" applyAlignment="1">
      <alignment horizontal="center" vertical="center"/>
    </xf>
    <xf numFmtId="0" fontId="28" fillId="0" borderId="40" xfId="0" applyFont="1" applyBorder="1" applyAlignment="1">
      <alignment horizontal="right" shrinkToFit="1"/>
    </xf>
    <xf numFmtId="0" fontId="28" fillId="0" borderId="41" xfId="0" applyFont="1" applyBorder="1" applyAlignment="1">
      <alignment horizontal="right" shrinkToFit="1"/>
    </xf>
    <xf numFmtId="0" fontId="28" fillId="0" borderId="10" xfId="0" applyFont="1" applyBorder="1" applyAlignment="1">
      <alignment horizontal="right" shrinkToFit="1"/>
    </xf>
    <xf numFmtId="0" fontId="28" fillId="0" borderId="34" xfId="0" applyFont="1" applyBorder="1" applyAlignment="1">
      <alignment horizontal="righ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92" zoomScaleNormal="92" zoomScalePageLayoutView="0" workbookViewId="0" topLeftCell="A1">
      <pane ySplit="5" topLeftCell="BM6" activePane="bottomLeft" state="frozen"/>
      <selection pane="topLeft" activeCell="A1" sqref="A1"/>
      <selection pane="bottomLeft" activeCell="K22" sqref="K22:K23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ht="18.75">
      <c r="A1" s="80" t="s">
        <v>57</v>
      </c>
    </row>
    <row r="2" ht="15.75">
      <c r="A2" s="81" t="s">
        <v>58</v>
      </c>
    </row>
    <row r="3" ht="13.5" thickBot="1">
      <c r="A3" s="82" t="s">
        <v>54</v>
      </c>
    </row>
    <row r="4" spans="1:26" ht="13.5" thickTop="1">
      <c r="A4" s="129" t="s">
        <v>1</v>
      </c>
      <c r="B4" s="3"/>
      <c r="C4" s="123" t="s">
        <v>43</v>
      </c>
      <c r="D4" s="124"/>
      <c r="E4" s="124"/>
      <c r="F4" s="125"/>
      <c r="G4" s="126" t="s">
        <v>44</v>
      </c>
      <c r="H4" s="127"/>
      <c r="I4" s="127"/>
      <c r="J4" s="128"/>
      <c r="K4" s="123" t="s">
        <v>45</v>
      </c>
      <c r="L4" s="124"/>
      <c r="M4" s="124"/>
      <c r="N4" s="124"/>
      <c r="O4" s="125"/>
      <c r="P4" s="124" t="s">
        <v>46</v>
      </c>
      <c r="Q4" s="124"/>
      <c r="R4" s="124"/>
      <c r="S4" s="124"/>
      <c r="T4" s="125"/>
      <c r="U4" s="112" t="s">
        <v>13</v>
      </c>
      <c r="V4" s="113"/>
      <c r="W4" s="114"/>
      <c r="X4" s="103" t="s">
        <v>12</v>
      </c>
      <c r="Y4" s="104"/>
      <c r="Z4" s="105"/>
    </row>
    <row r="5" spans="1:26" ht="13.5" thickBot="1">
      <c r="A5" s="130"/>
      <c r="B5" s="13"/>
      <c r="C5" s="32" t="s">
        <v>47</v>
      </c>
      <c r="D5" s="33" t="s">
        <v>48</v>
      </c>
      <c r="E5" s="83" t="s">
        <v>49</v>
      </c>
      <c r="F5" s="84" t="s">
        <v>40</v>
      </c>
      <c r="G5" s="32" t="s">
        <v>48</v>
      </c>
      <c r="H5" s="33" t="s">
        <v>50</v>
      </c>
      <c r="I5" s="48" t="s">
        <v>38</v>
      </c>
      <c r="J5" s="84" t="s">
        <v>40</v>
      </c>
      <c r="K5" s="32" t="s">
        <v>22</v>
      </c>
      <c r="L5" s="33" t="s">
        <v>55</v>
      </c>
      <c r="M5" s="85" t="s">
        <v>49</v>
      </c>
      <c r="N5" s="85" t="s">
        <v>51</v>
      </c>
      <c r="O5" s="84" t="s">
        <v>40</v>
      </c>
      <c r="P5" s="34" t="s">
        <v>23</v>
      </c>
      <c r="Q5" s="33" t="s">
        <v>56</v>
      </c>
      <c r="R5" s="85" t="s">
        <v>49</v>
      </c>
      <c r="S5" s="85" t="s">
        <v>51</v>
      </c>
      <c r="T5" s="84" t="s">
        <v>40</v>
      </c>
      <c r="U5" s="29" t="s">
        <v>48</v>
      </c>
      <c r="V5" s="30" t="s">
        <v>50</v>
      </c>
      <c r="W5" s="31" t="s">
        <v>38</v>
      </c>
      <c r="X5" s="36" t="s">
        <v>48</v>
      </c>
      <c r="Y5" s="37" t="s">
        <v>47</v>
      </c>
      <c r="Z5" s="38" t="s">
        <v>38</v>
      </c>
    </row>
    <row r="6" spans="1:26" s="2" customFormat="1" ht="14.25" customHeight="1" thickTop="1">
      <c r="A6" s="121" t="s">
        <v>59</v>
      </c>
      <c r="B6" s="14" t="s">
        <v>10</v>
      </c>
      <c r="C6" s="8">
        <v>180</v>
      </c>
      <c r="D6" s="9">
        <v>110</v>
      </c>
      <c r="E6" s="86">
        <f>C6+D6</f>
        <v>290</v>
      </c>
      <c r="F6" s="87">
        <f>E6*10%</f>
        <v>29</v>
      </c>
      <c r="G6" s="8">
        <v>71</v>
      </c>
      <c r="H6" s="9">
        <v>71</v>
      </c>
      <c r="I6" s="88">
        <f aca="true" t="shared" si="0" ref="I6:I25">(G6+H6)/2</f>
        <v>71</v>
      </c>
      <c r="J6" s="89">
        <f>I6*30%</f>
        <v>21.3</v>
      </c>
      <c r="K6" s="106">
        <v>76</v>
      </c>
      <c r="L6" s="108">
        <v>74</v>
      </c>
      <c r="M6" s="117">
        <f>K6+L6</f>
        <v>150</v>
      </c>
      <c r="N6" s="119">
        <f>M6/2</f>
        <v>75</v>
      </c>
      <c r="O6" s="115">
        <f>N6*15%</f>
        <v>11.25</v>
      </c>
      <c r="P6" s="106">
        <v>78</v>
      </c>
      <c r="Q6" s="108">
        <v>76</v>
      </c>
      <c r="R6" s="117">
        <f>P6+Q6</f>
        <v>154</v>
      </c>
      <c r="S6" s="119">
        <f>R6/2</f>
        <v>77</v>
      </c>
      <c r="T6" s="115">
        <f>S6*15%</f>
        <v>11.549999999999999</v>
      </c>
      <c r="U6" s="106">
        <v>84</v>
      </c>
      <c r="V6" s="108">
        <v>81</v>
      </c>
      <c r="W6" s="110">
        <f>SUM(U6:V6)/2</f>
        <v>82.5</v>
      </c>
      <c r="X6" s="106">
        <v>90</v>
      </c>
      <c r="Y6" s="108">
        <v>83</v>
      </c>
      <c r="Z6" s="110">
        <f>SUM(X6:Y6)/2</f>
        <v>86.5</v>
      </c>
    </row>
    <row r="7" spans="1:26" s="2" customFormat="1" ht="14.25" customHeight="1" thickBot="1">
      <c r="A7" s="122"/>
      <c r="B7" s="15" t="s">
        <v>11</v>
      </c>
      <c r="C7" s="10">
        <v>176</v>
      </c>
      <c r="D7" s="11">
        <v>115</v>
      </c>
      <c r="E7" s="90">
        <f aca="true" t="shared" si="1" ref="E7:E25">C7+D7</f>
        <v>291</v>
      </c>
      <c r="F7" s="91">
        <f aca="true" t="shared" si="2" ref="F7:F25">E7*10%</f>
        <v>29.1</v>
      </c>
      <c r="G7" s="10">
        <v>82</v>
      </c>
      <c r="H7" s="11">
        <v>80</v>
      </c>
      <c r="I7" s="92">
        <f t="shared" si="0"/>
        <v>81</v>
      </c>
      <c r="J7" s="93">
        <f aca="true" t="shared" si="3" ref="J7:J25">I7*30%</f>
        <v>24.3</v>
      </c>
      <c r="K7" s="107"/>
      <c r="L7" s="109"/>
      <c r="M7" s="118"/>
      <c r="N7" s="120"/>
      <c r="O7" s="116"/>
      <c r="P7" s="107"/>
      <c r="Q7" s="109"/>
      <c r="R7" s="118"/>
      <c r="S7" s="120"/>
      <c r="T7" s="116"/>
      <c r="U7" s="107"/>
      <c r="V7" s="109"/>
      <c r="W7" s="111"/>
      <c r="X7" s="107"/>
      <c r="Y7" s="109"/>
      <c r="Z7" s="111"/>
    </row>
    <row r="8" spans="1:26" s="2" customFormat="1" ht="14.25" customHeight="1" thickTop="1">
      <c r="A8" s="121" t="s">
        <v>60</v>
      </c>
      <c r="B8" s="14" t="s">
        <v>10</v>
      </c>
      <c r="C8" s="8">
        <v>187</v>
      </c>
      <c r="D8" s="9">
        <v>109</v>
      </c>
      <c r="E8" s="86">
        <f t="shared" si="1"/>
        <v>296</v>
      </c>
      <c r="F8" s="94">
        <f t="shared" si="2"/>
        <v>29.6</v>
      </c>
      <c r="G8" s="8">
        <v>78</v>
      </c>
      <c r="H8" s="9">
        <v>80</v>
      </c>
      <c r="I8" s="88">
        <f t="shared" si="0"/>
        <v>79</v>
      </c>
      <c r="J8" s="89">
        <f t="shared" si="3"/>
        <v>23.7</v>
      </c>
      <c r="K8" s="106">
        <v>78</v>
      </c>
      <c r="L8" s="108">
        <v>76</v>
      </c>
      <c r="M8" s="117">
        <f>K8+L8</f>
        <v>154</v>
      </c>
      <c r="N8" s="119">
        <f>M8/2</f>
        <v>77</v>
      </c>
      <c r="O8" s="115">
        <f>N8*15%</f>
        <v>11.549999999999999</v>
      </c>
      <c r="P8" s="106">
        <v>80</v>
      </c>
      <c r="Q8" s="108">
        <v>78</v>
      </c>
      <c r="R8" s="117">
        <f>P8+Q8</f>
        <v>158</v>
      </c>
      <c r="S8" s="119">
        <f>R8/2</f>
        <v>79</v>
      </c>
      <c r="T8" s="115">
        <f>S8*15%</f>
        <v>11.85</v>
      </c>
      <c r="U8" s="106">
        <v>80</v>
      </c>
      <c r="V8" s="108">
        <v>77</v>
      </c>
      <c r="W8" s="110">
        <f>SUM(U8:V8)/2</f>
        <v>78.5</v>
      </c>
      <c r="X8" s="106">
        <v>77</v>
      </c>
      <c r="Y8" s="108">
        <v>75</v>
      </c>
      <c r="Z8" s="110">
        <f>SUM(X8:Y8)/2</f>
        <v>76</v>
      </c>
    </row>
    <row r="9" spans="1:26" s="2" customFormat="1" ht="14.25" customHeight="1" thickBot="1">
      <c r="A9" s="122"/>
      <c r="B9" s="15" t="s">
        <v>11</v>
      </c>
      <c r="C9" s="10">
        <v>186</v>
      </c>
      <c r="D9" s="11">
        <v>114</v>
      </c>
      <c r="E9" s="90">
        <f t="shared" si="1"/>
        <v>300</v>
      </c>
      <c r="F9" s="91">
        <f t="shared" si="2"/>
        <v>30</v>
      </c>
      <c r="G9" s="10">
        <v>80</v>
      </c>
      <c r="H9" s="11">
        <v>78</v>
      </c>
      <c r="I9" s="92">
        <f t="shared" si="0"/>
        <v>79</v>
      </c>
      <c r="J9" s="93">
        <f t="shared" si="3"/>
        <v>23.7</v>
      </c>
      <c r="K9" s="107"/>
      <c r="L9" s="109"/>
      <c r="M9" s="118"/>
      <c r="N9" s="120"/>
      <c r="O9" s="116"/>
      <c r="P9" s="107"/>
      <c r="Q9" s="109"/>
      <c r="R9" s="118"/>
      <c r="S9" s="120"/>
      <c r="T9" s="116"/>
      <c r="U9" s="107"/>
      <c r="V9" s="109"/>
      <c r="W9" s="111"/>
      <c r="X9" s="107"/>
      <c r="Y9" s="109"/>
      <c r="Z9" s="111"/>
    </row>
    <row r="10" spans="1:26" s="2" customFormat="1" ht="14.25" customHeight="1" thickTop="1">
      <c r="A10" s="121" t="s">
        <v>61</v>
      </c>
      <c r="B10" s="14" t="s">
        <v>10</v>
      </c>
      <c r="C10" s="8">
        <v>223</v>
      </c>
      <c r="D10" s="9">
        <v>137</v>
      </c>
      <c r="E10" s="86">
        <f t="shared" si="1"/>
        <v>360</v>
      </c>
      <c r="F10" s="94">
        <f t="shared" si="2"/>
        <v>36</v>
      </c>
      <c r="G10" s="8">
        <v>74</v>
      </c>
      <c r="H10" s="9">
        <v>81</v>
      </c>
      <c r="I10" s="88">
        <f t="shared" si="0"/>
        <v>77.5</v>
      </c>
      <c r="J10" s="89">
        <f t="shared" si="3"/>
        <v>23.25</v>
      </c>
      <c r="K10" s="106">
        <v>82</v>
      </c>
      <c r="L10" s="108">
        <v>80</v>
      </c>
      <c r="M10" s="117">
        <f>K10+L10</f>
        <v>162</v>
      </c>
      <c r="N10" s="119">
        <f>M10/2</f>
        <v>81</v>
      </c>
      <c r="O10" s="115">
        <f>N10*15%</f>
        <v>12.15</v>
      </c>
      <c r="P10" s="106">
        <v>88</v>
      </c>
      <c r="Q10" s="108">
        <v>88</v>
      </c>
      <c r="R10" s="117">
        <f>P10+Q10</f>
        <v>176</v>
      </c>
      <c r="S10" s="119">
        <f>R10/2</f>
        <v>88</v>
      </c>
      <c r="T10" s="115">
        <f>S10*15%</f>
        <v>13.2</v>
      </c>
      <c r="U10" s="106">
        <v>82</v>
      </c>
      <c r="V10" s="108">
        <v>87</v>
      </c>
      <c r="W10" s="110">
        <f>SUM(U10:V10)/2</f>
        <v>84.5</v>
      </c>
      <c r="X10" s="106">
        <v>87</v>
      </c>
      <c r="Y10" s="108">
        <v>88</v>
      </c>
      <c r="Z10" s="110">
        <f>SUM(X10:Y10)/2</f>
        <v>87.5</v>
      </c>
    </row>
    <row r="11" spans="1:26" s="2" customFormat="1" ht="14.25" customHeight="1" thickBot="1">
      <c r="A11" s="122"/>
      <c r="B11" s="15" t="s">
        <v>11</v>
      </c>
      <c r="C11" s="10">
        <v>216</v>
      </c>
      <c r="D11" s="11">
        <v>133</v>
      </c>
      <c r="E11" s="90">
        <f t="shared" si="1"/>
        <v>349</v>
      </c>
      <c r="F11" s="91">
        <f t="shared" si="2"/>
        <v>34.9</v>
      </c>
      <c r="G11" s="10">
        <v>90</v>
      </c>
      <c r="H11" s="11">
        <v>88</v>
      </c>
      <c r="I11" s="92">
        <f t="shared" si="0"/>
        <v>89</v>
      </c>
      <c r="J11" s="93">
        <f t="shared" si="3"/>
        <v>26.7</v>
      </c>
      <c r="K11" s="107"/>
      <c r="L11" s="109"/>
      <c r="M11" s="118"/>
      <c r="N11" s="120"/>
      <c r="O11" s="116"/>
      <c r="P11" s="107"/>
      <c r="Q11" s="109"/>
      <c r="R11" s="118"/>
      <c r="S11" s="120"/>
      <c r="T11" s="116"/>
      <c r="U11" s="107"/>
      <c r="V11" s="109"/>
      <c r="W11" s="111"/>
      <c r="X11" s="107"/>
      <c r="Y11" s="109"/>
      <c r="Z11" s="111"/>
    </row>
    <row r="12" spans="1:26" s="2" customFormat="1" ht="14.25" customHeight="1" thickTop="1">
      <c r="A12" s="121" t="s">
        <v>62</v>
      </c>
      <c r="B12" s="14" t="s">
        <v>10</v>
      </c>
      <c r="C12" s="8">
        <v>230</v>
      </c>
      <c r="D12" s="9">
        <v>144</v>
      </c>
      <c r="E12" s="86">
        <f t="shared" si="1"/>
        <v>374</v>
      </c>
      <c r="F12" s="94">
        <f t="shared" si="2"/>
        <v>37.4</v>
      </c>
      <c r="G12" s="8">
        <v>76</v>
      </c>
      <c r="H12" s="9">
        <v>74</v>
      </c>
      <c r="I12" s="88">
        <f t="shared" si="0"/>
        <v>75</v>
      </c>
      <c r="J12" s="89">
        <f t="shared" si="3"/>
        <v>22.5</v>
      </c>
      <c r="K12" s="106">
        <v>85</v>
      </c>
      <c r="L12" s="108">
        <v>83</v>
      </c>
      <c r="M12" s="117">
        <f>K12+L12</f>
        <v>168</v>
      </c>
      <c r="N12" s="119">
        <f>M12/2</f>
        <v>84</v>
      </c>
      <c r="O12" s="115">
        <f>N12*15%</f>
        <v>12.6</v>
      </c>
      <c r="P12" s="106">
        <v>84</v>
      </c>
      <c r="Q12" s="108">
        <v>82</v>
      </c>
      <c r="R12" s="117">
        <f>P12+Q12</f>
        <v>166</v>
      </c>
      <c r="S12" s="119">
        <f>R12/2</f>
        <v>83</v>
      </c>
      <c r="T12" s="115">
        <f>S12*15%</f>
        <v>12.45</v>
      </c>
      <c r="U12" s="106">
        <v>89</v>
      </c>
      <c r="V12" s="108">
        <v>88</v>
      </c>
      <c r="W12" s="110">
        <f>SUM(U12:V12)/2</f>
        <v>88.5</v>
      </c>
      <c r="X12" s="106">
        <v>93</v>
      </c>
      <c r="Y12" s="108">
        <v>89</v>
      </c>
      <c r="Z12" s="110">
        <f>SUM(X12:Y12)/2</f>
        <v>91</v>
      </c>
    </row>
    <row r="13" spans="1:26" s="2" customFormat="1" ht="14.25" customHeight="1" thickBot="1">
      <c r="A13" s="122"/>
      <c r="B13" s="15" t="s">
        <v>11</v>
      </c>
      <c r="C13" s="10">
        <v>215</v>
      </c>
      <c r="D13" s="11">
        <v>130</v>
      </c>
      <c r="E13" s="90">
        <f t="shared" si="1"/>
        <v>345</v>
      </c>
      <c r="F13" s="91">
        <f t="shared" si="2"/>
        <v>34.5</v>
      </c>
      <c r="G13" s="10">
        <v>89</v>
      </c>
      <c r="H13" s="11">
        <v>87</v>
      </c>
      <c r="I13" s="92">
        <f t="shared" si="0"/>
        <v>88</v>
      </c>
      <c r="J13" s="93">
        <f t="shared" si="3"/>
        <v>26.4</v>
      </c>
      <c r="K13" s="107"/>
      <c r="L13" s="109"/>
      <c r="M13" s="118"/>
      <c r="N13" s="120"/>
      <c r="O13" s="116"/>
      <c r="P13" s="107"/>
      <c r="Q13" s="109"/>
      <c r="R13" s="118"/>
      <c r="S13" s="120"/>
      <c r="T13" s="116"/>
      <c r="U13" s="107"/>
      <c r="V13" s="109"/>
      <c r="W13" s="111"/>
      <c r="X13" s="107"/>
      <c r="Y13" s="109"/>
      <c r="Z13" s="111"/>
    </row>
    <row r="14" spans="1:26" s="2" customFormat="1" ht="14.25" customHeight="1" thickTop="1">
      <c r="A14" s="121" t="s">
        <v>63</v>
      </c>
      <c r="B14" s="14" t="s">
        <v>10</v>
      </c>
      <c r="C14" s="8">
        <v>181</v>
      </c>
      <c r="D14" s="9">
        <v>107</v>
      </c>
      <c r="E14" s="86">
        <f t="shared" si="1"/>
        <v>288</v>
      </c>
      <c r="F14" s="94">
        <f t="shared" si="2"/>
        <v>28.8</v>
      </c>
      <c r="G14" s="8">
        <v>67</v>
      </c>
      <c r="H14" s="9">
        <v>68</v>
      </c>
      <c r="I14" s="88">
        <f t="shared" si="0"/>
        <v>67.5</v>
      </c>
      <c r="J14" s="89">
        <f t="shared" si="3"/>
        <v>20.25</v>
      </c>
      <c r="K14" s="106">
        <v>78</v>
      </c>
      <c r="L14" s="108">
        <v>74</v>
      </c>
      <c r="M14" s="117">
        <f>K14+L14</f>
        <v>152</v>
      </c>
      <c r="N14" s="119">
        <f>M14/2</f>
        <v>76</v>
      </c>
      <c r="O14" s="115">
        <f>N14*15%</f>
        <v>11.4</v>
      </c>
      <c r="P14" s="106">
        <v>76</v>
      </c>
      <c r="Q14" s="108">
        <v>72</v>
      </c>
      <c r="R14" s="117">
        <f>P14+Q14</f>
        <v>148</v>
      </c>
      <c r="S14" s="119">
        <f>R14/2</f>
        <v>74</v>
      </c>
      <c r="T14" s="115">
        <f>S14*15%</f>
        <v>11.1</v>
      </c>
      <c r="U14" s="106">
        <v>73</v>
      </c>
      <c r="V14" s="108">
        <v>74</v>
      </c>
      <c r="W14" s="110">
        <f>SUM(U14:V14)/2</f>
        <v>73.5</v>
      </c>
      <c r="X14" s="106">
        <v>74</v>
      </c>
      <c r="Y14" s="108">
        <v>73</v>
      </c>
      <c r="Z14" s="110">
        <f>SUM(X14:Y14)/2</f>
        <v>73.5</v>
      </c>
    </row>
    <row r="15" spans="1:26" s="2" customFormat="1" ht="14.25" customHeight="1" thickBot="1">
      <c r="A15" s="122"/>
      <c r="B15" s="15" t="s">
        <v>11</v>
      </c>
      <c r="C15" s="10">
        <v>177</v>
      </c>
      <c r="D15" s="11">
        <v>100</v>
      </c>
      <c r="E15" s="90">
        <f t="shared" si="1"/>
        <v>277</v>
      </c>
      <c r="F15" s="91">
        <f t="shared" si="2"/>
        <v>27.700000000000003</v>
      </c>
      <c r="G15" s="10">
        <v>76</v>
      </c>
      <c r="H15" s="11">
        <v>74</v>
      </c>
      <c r="I15" s="92">
        <f t="shared" si="0"/>
        <v>75</v>
      </c>
      <c r="J15" s="93">
        <f t="shared" si="3"/>
        <v>22.5</v>
      </c>
      <c r="K15" s="107"/>
      <c r="L15" s="109"/>
      <c r="M15" s="118"/>
      <c r="N15" s="120"/>
      <c r="O15" s="116"/>
      <c r="P15" s="107"/>
      <c r="Q15" s="109"/>
      <c r="R15" s="118"/>
      <c r="S15" s="120"/>
      <c r="T15" s="116"/>
      <c r="U15" s="107"/>
      <c r="V15" s="109"/>
      <c r="W15" s="111"/>
      <c r="X15" s="107"/>
      <c r="Y15" s="109"/>
      <c r="Z15" s="111"/>
    </row>
    <row r="16" spans="1:26" s="2" customFormat="1" ht="14.25" customHeight="1" thickTop="1">
      <c r="A16" s="121" t="s">
        <v>64</v>
      </c>
      <c r="B16" s="14" t="s">
        <v>10</v>
      </c>
      <c r="C16" s="8">
        <v>190</v>
      </c>
      <c r="D16" s="9">
        <v>116</v>
      </c>
      <c r="E16" s="86">
        <f t="shared" si="1"/>
        <v>306</v>
      </c>
      <c r="F16" s="94">
        <f t="shared" si="2"/>
        <v>30.6</v>
      </c>
      <c r="G16" s="8">
        <v>69</v>
      </c>
      <c r="H16" s="9">
        <v>70</v>
      </c>
      <c r="I16" s="88">
        <f t="shared" si="0"/>
        <v>69.5</v>
      </c>
      <c r="J16" s="89">
        <f t="shared" si="3"/>
        <v>20.849999999999998</v>
      </c>
      <c r="K16" s="106">
        <v>79</v>
      </c>
      <c r="L16" s="108">
        <v>78</v>
      </c>
      <c r="M16" s="117">
        <f>K16+L16</f>
        <v>157</v>
      </c>
      <c r="N16" s="119">
        <f>M16/2</f>
        <v>78.5</v>
      </c>
      <c r="O16" s="115">
        <f>N16*15%</f>
        <v>11.775</v>
      </c>
      <c r="P16" s="106">
        <v>81</v>
      </c>
      <c r="Q16" s="108">
        <v>80</v>
      </c>
      <c r="R16" s="117">
        <f>P16+Q16</f>
        <v>161</v>
      </c>
      <c r="S16" s="119">
        <f>R16/2</f>
        <v>80.5</v>
      </c>
      <c r="T16" s="115">
        <f>S16*15%</f>
        <v>12.075</v>
      </c>
      <c r="U16" s="106">
        <v>76</v>
      </c>
      <c r="V16" s="108">
        <v>75</v>
      </c>
      <c r="W16" s="110">
        <f>SUM(U16:V16)/2</f>
        <v>75.5</v>
      </c>
      <c r="X16" s="106">
        <v>73</v>
      </c>
      <c r="Y16" s="108">
        <v>72</v>
      </c>
      <c r="Z16" s="110">
        <f>SUM(X16:Y16)/2</f>
        <v>72.5</v>
      </c>
    </row>
    <row r="17" spans="1:26" s="2" customFormat="1" ht="14.25" customHeight="1" thickBot="1">
      <c r="A17" s="122"/>
      <c r="B17" s="15" t="s">
        <v>11</v>
      </c>
      <c r="C17" s="10">
        <v>192</v>
      </c>
      <c r="D17" s="11">
        <v>120</v>
      </c>
      <c r="E17" s="90">
        <f t="shared" si="1"/>
        <v>312</v>
      </c>
      <c r="F17" s="91">
        <f t="shared" si="2"/>
        <v>31.200000000000003</v>
      </c>
      <c r="G17" s="10">
        <v>78</v>
      </c>
      <c r="H17" s="11">
        <v>75</v>
      </c>
      <c r="I17" s="92">
        <f t="shared" si="0"/>
        <v>76.5</v>
      </c>
      <c r="J17" s="93">
        <f t="shared" si="3"/>
        <v>22.95</v>
      </c>
      <c r="K17" s="107"/>
      <c r="L17" s="109"/>
      <c r="M17" s="118"/>
      <c r="N17" s="120"/>
      <c r="O17" s="116"/>
      <c r="P17" s="107"/>
      <c r="Q17" s="109"/>
      <c r="R17" s="118"/>
      <c r="S17" s="120"/>
      <c r="T17" s="116"/>
      <c r="U17" s="107"/>
      <c r="V17" s="109"/>
      <c r="W17" s="111"/>
      <c r="X17" s="107"/>
      <c r="Y17" s="109"/>
      <c r="Z17" s="111"/>
    </row>
    <row r="18" spans="1:26" s="2" customFormat="1" ht="14.25" customHeight="1" thickTop="1">
      <c r="A18" s="121" t="s">
        <v>65</v>
      </c>
      <c r="B18" s="14" t="s">
        <v>10</v>
      </c>
      <c r="C18" s="8">
        <v>228</v>
      </c>
      <c r="D18" s="9">
        <v>139</v>
      </c>
      <c r="E18" s="86">
        <f t="shared" si="1"/>
        <v>367</v>
      </c>
      <c r="F18" s="94">
        <f t="shared" si="2"/>
        <v>36.7</v>
      </c>
      <c r="G18" s="8">
        <v>85</v>
      </c>
      <c r="H18" s="9">
        <v>80</v>
      </c>
      <c r="I18" s="88">
        <f t="shared" si="0"/>
        <v>82.5</v>
      </c>
      <c r="J18" s="89">
        <f t="shared" si="3"/>
        <v>24.75</v>
      </c>
      <c r="K18" s="106">
        <v>87</v>
      </c>
      <c r="L18" s="108">
        <v>85</v>
      </c>
      <c r="M18" s="117">
        <f>K18+L18</f>
        <v>172</v>
      </c>
      <c r="N18" s="119">
        <f>M18/2</f>
        <v>86</v>
      </c>
      <c r="O18" s="115">
        <f>N18*15%</f>
        <v>12.9</v>
      </c>
      <c r="P18" s="106">
        <v>90</v>
      </c>
      <c r="Q18" s="108">
        <v>87</v>
      </c>
      <c r="R18" s="117">
        <f>P18+Q18</f>
        <v>177</v>
      </c>
      <c r="S18" s="119">
        <f>R18/2</f>
        <v>88.5</v>
      </c>
      <c r="T18" s="115">
        <f>S18*15%</f>
        <v>13.275</v>
      </c>
      <c r="U18" s="106">
        <v>87</v>
      </c>
      <c r="V18" s="108">
        <v>86</v>
      </c>
      <c r="W18" s="110">
        <f>SUM(U18:V18)/2</f>
        <v>86.5</v>
      </c>
      <c r="X18" s="106">
        <v>85</v>
      </c>
      <c r="Y18" s="108">
        <v>81</v>
      </c>
      <c r="Z18" s="110">
        <f>SUM(X18:Y18)/2</f>
        <v>83</v>
      </c>
    </row>
    <row r="19" spans="1:26" s="2" customFormat="1" ht="14.25" customHeight="1" thickBot="1">
      <c r="A19" s="122"/>
      <c r="B19" s="15" t="s">
        <v>11</v>
      </c>
      <c r="C19" s="10">
        <v>210</v>
      </c>
      <c r="D19" s="11">
        <v>129</v>
      </c>
      <c r="E19" s="90">
        <f t="shared" si="1"/>
        <v>339</v>
      </c>
      <c r="F19" s="91">
        <f t="shared" si="2"/>
        <v>33.9</v>
      </c>
      <c r="G19" s="10">
        <v>92</v>
      </c>
      <c r="H19" s="11">
        <v>89</v>
      </c>
      <c r="I19" s="92">
        <f t="shared" si="0"/>
        <v>90.5</v>
      </c>
      <c r="J19" s="93">
        <f t="shared" si="3"/>
        <v>27.15</v>
      </c>
      <c r="K19" s="107"/>
      <c r="L19" s="109"/>
      <c r="M19" s="118"/>
      <c r="N19" s="120"/>
      <c r="O19" s="116"/>
      <c r="P19" s="107"/>
      <c r="Q19" s="109"/>
      <c r="R19" s="118"/>
      <c r="S19" s="120"/>
      <c r="T19" s="116"/>
      <c r="U19" s="107"/>
      <c r="V19" s="109"/>
      <c r="W19" s="111"/>
      <c r="X19" s="107"/>
      <c r="Y19" s="109"/>
      <c r="Z19" s="111"/>
    </row>
    <row r="20" spans="1:26" s="2" customFormat="1" ht="14.25" customHeight="1" thickTop="1">
      <c r="A20" s="121" t="s">
        <v>66</v>
      </c>
      <c r="B20" s="14" t="s">
        <v>10</v>
      </c>
      <c r="C20" s="8">
        <v>233</v>
      </c>
      <c r="D20" s="9">
        <v>146</v>
      </c>
      <c r="E20" s="86">
        <f t="shared" si="1"/>
        <v>379</v>
      </c>
      <c r="F20" s="94">
        <f t="shared" si="2"/>
        <v>37.9</v>
      </c>
      <c r="G20" s="8">
        <v>91</v>
      </c>
      <c r="H20" s="9">
        <v>89</v>
      </c>
      <c r="I20" s="88">
        <f t="shared" si="0"/>
        <v>90</v>
      </c>
      <c r="J20" s="89">
        <f t="shared" si="3"/>
        <v>27</v>
      </c>
      <c r="K20" s="106">
        <v>89</v>
      </c>
      <c r="L20" s="108">
        <v>87</v>
      </c>
      <c r="M20" s="117">
        <f>K20+L20</f>
        <v>176</v>
      </c>
      <c r="N20" s="119">
        <f>M20/2</f>
        <v>88</v>
      </c>
      <c r="O20" s="115">
        <f>N20*15%</f>
        <v>13.2</v>
      </c>
      <c r="P20" s="106">
        <v>93</v>
      </c>
      <c r="Q20" s="108">
        <v>90</v>
      </c>
      <c r="R20" s="117">
        <f>P20+Q20</f>
        <v>183</v>
      </c>
      <c r="S20" s="119">
        <f>R20/2</f>
        <v>91.5</v>
      </c>
      <c r="T20" s="115">
        <f>S20*15%</f>
        <v>13.725</v>
      </c>
      <c r="U20" s="106">
        <v>92</v>
      </c>
      <c r="V20" s="108">
        <v>92</v>
      </c>
      <c r="W20" s="110">
        <f>SUM(U20:V20)/2</f>
        <v>92</v>
      </c>
      <c r="X20" s="106">
        <v>89</v>
      </c>
      <c r="Y20" s="108">
        <v>87</v>
      </c>
      <c r="Z20" s="110">
        <f>SUM(X20:Y20)/2</f>
        <v>88</v>
      </c>
    </row>
    <row r="21" spans="1:26" s="2" customFormat="1" ht="14.25" customHeight="1" thickBot="1">
      <c r="A21" s="122"/>
      <c r="B21" s="15" t="s">
        <v>11</v>
      </c>
      <c r="C21" s="10">
        <v>220</v>
      </c>
      <c r="D21" s="11">
        <v>140</v>
      </c>
      <c r="E21" s="90">
        <f t="shared" si="1"/>
        <v>360</v>
      </c>
      <c r="F21" s="91">
        <f t="shared" si="2"/>
        <v>36</v>
      </c>
      <c r="G21" s="10">
        <v>94</v>
      </c>
      <c r="H21" s="11">
        <v>92</v>
      </c>
      <c r="I21" s="92">
        <f t="shared" si="0"/>
        <v>93</v>
      </c>
      <c r="J21" s="93">
        <f t="shared" si="3"/>
        <v>27.9</v>
      </c>
      <c r="K21" s="107"/>
      <c r="L21" s="109"/>
      <c r="M21" s="118"/>
      <c r="N21" s="120"/>
      <c r="O21" s="116"/>
      <c r="P21" s="107"/>
      <c r="Q21" s="109"/>
      <c r="R21" s="118"/>
      <c r="S21" s="120"/>
      <c r="T21" s="116"/>
      <c r="U21" s="107"/>
      <c r="V21" s="109"/>
      <c r="W21" s="111"/>
      <c r="X21" s="107"/>
      <c r="Y21" s="109"/>
      <c r="Z21" s="111"/>
    </row>
    <row r="22" spans="1:26" s="2" customFormat="1" ht="14.25" customHeight="1" thickTop="1">
      <c r="A22" s="121" t="s">
        <v>67</v>
      </c>
      <c r="B22" s="14" t="s">
        <v>10</v>
      </c>
      <c r="C22" s="8">
        <v>188</v>
      </c>
      <c r="D22" s="9">
        <v>110</v>
      </c>
      <c r="E22" s="86">
        <f t="shared" si="1"/>
        <v>298</v>
      </c>
      <c r="F22" s="94">
        <f t="shared" si="2"/>
        <v>29.8</v>
      </c>
      <c r="G22" s="8">
        <v>76</v>
      </c>
      <c r="H22" s="9">
        <v>77</v>
      </c>
      <c r="I22" s="88">
        <f t="shared" si="0"/>
        <v>76.5</v>
      </c>
      <c r="J22" s="89">
        <f t="shared" si="3"/>
        <v>22.95</v>
      </c>
      <c r="K22" s="106">
        <v>80</v>
      </c>
      <c r="L22" s="108">
        <v>79</v>
      </c>
      <c r="M22" s="117">
        <f>K22+L22</f>
        <v>159</v>
      </c>
      <c r="N22" s="119">
        <f>M22/2</f>
        <v>79.5</v>
      </c>
      <c r="O22" s="115">
        <f>N22*15%</f>
        <v>11.924999999999999</v>
      </c>
      <c r="P22" s="106">
        <v>77</v>
      </c>
      <c r="Q22" s="108">
        <v>74</v>
      </c>
      <c r="R22" s="117">
        <f>P22+Q22</f>
        <v>151</v>
      </c>
      <c r="S22" s="119">
        <f>R22/2</f>
        <v>75.5</v>
      </c>
      <c r="T22" s="115">
        <f>S22*15%</f>
        <v>11.325</v>
      </c>
      <c r="U22" s="106">
        <v>74</v>
      </c>
      <c r="V22" s="108">
        <v>75</v>
      </c>
      <c r="W22" s="110">
        <f>SUM(U22:V22)/2</f>
        <v>74.5</v>
      </c>
      <c r="X22" s="106">
        <v>72</v>
      </c>
      <c r="Y22" s="108">
        <v>72</v>
      </c>
      <c r="Z22" s="110">
        <f>SUM(X22:Y22)/2</f>
        <v>72</v>
      </c>
    </row>
    <row r="23" spans="1:26" s="2" customFormat="1" ht="14.25" customHeight="1" thickBot="1">
      <c r="A23" s="122"/>
      <c r="B23" s="15" t="s">
        <v>11</v>
      </c>
      <c r="C23" s="10">
        <v>178</v>
      </c>
      <c r="D23" s="11">
        <v>110</v>
      </c>
      <c r="E23" s="90">
        <f t="shared" si="1"/>
        <v>288</v>
      </c>
      <c r="F23" s="91">
        <f t="shared" si="2"/>
        <v>28.8</v>
      </c>
      <c r="G23" s="10">
        <v>77</v>
      </c>
      <c r="H23" s="11">
        <v>79</v>
      </c>
      <c r="I23" s="92">
        <f t="shared" si="0"/>
        <v>78</v>
      </c>
      <c r="J23" s="93">
        <f t="shared" si="3"/>
        <v>23.4</v>
      </c>
      <c r="K23" s="107"/>
      <c r="L23" s="109"/>
      <c r="M23" s="118"/>
      <c r="N23" s="120"/>
      <c r="O23" s="116"/>
      <c r="P23" s="107"/>
      <c r="Q23" s="109"/>
      <c r="R23" s="118"/>
      <c r="S23" s="120"/>
      <c r="T23" s="116"/>
      <c r="U23" s="107"/>
      <c r="V23" s="109"/>
      <c r="W23" s="111"/>
      <c r="X23" s="107"/>
      <c r="Y23" s="109"/>
      <c r="Z23" s="111"/>
    </row>
    <row r="24" spans="1:26" s="2" customFormat="1" ht="14.25" customHeight="1" hidden="1" thickTop="1">
      <c r="A24" s="121"/>
      <c r="B24" s="14" t="s">
        <v>10</v>
      </c>
      <c r="C24" s="8"/>
      <c r="D24" s="9"/>
      <c r="E24" s="86">
        <f t="shared" si="1"/>
        <v>0</v>
      </c>
      <c r="F24" s="94">
        <f t="shared" si="2"/>
        <v>0</v>
      </c>
      <c r="G24" s="8"/>
      <c r="H24" s="9"/>
      <c r="I24" s="88">
        <f t="shared" si="0"/>
        <v>0</v>
      </c>
      <c r="J24" s="89">
        <f t="shared" si="3"/>
        <v>0</v>
      </c>
      <c r="K24" s="106"/>
      <c r="L24" s="108"/>
      <c r="M24" s="117">
        <f>K24+L24</f>
        <v>0</v>
      </c>
      <c r="N24" s="119">
        <f>M24/2</f>
        <v>0</v>
      </c>
      <c r="O24" s="115">
        <f>N24*15%</f>
        <v>0</v>
      </c>
      <c r="P24" s="106"/>
      <c r="Q24" s="108"/>
      <c r="R24" s="117">
        <f>P24+Q24</f>
        <v>0</v>
      </c>
      <c r="S24" s="119">
        <f>R24/2</f>
        <v>0</v>
      </c>
      <c r="T24" s="115">
        <f>S24*15%</f>
        <v>0</v>
      </c>
      <c r="U24" s="106"/>
      <c r="V24" s="108"/>
      <c r="W24" s="110">
        <f>SUM(U24:V24)/2</f>
        <v>0</v>
      </c>
      <c r="X24" s="106"/>
      <c r="Y24" s="108"/>
      <c r="Z24" s="110">
        <f>SUM(X24:Y24)/2</f>
        <v>0</v>
      </c>
    </row>
    <row r="25" spans="1:26" s="2" customFormat="1" ht="14.25" customHeight="1" hidden="1" thickBot="1">
      <c r="A25" s="122"/>
      <c r="B25" s="15" t="s">
        <v>11</v>
      </c>
      <c r="C25" s="10"/>
      <c r="D25" s="11"/>
      <c r="E25" s="90">
        <f t="shared" si="1"/>
        <v>0</v>
      </c>
      <c r="F25" s="91">
        <f t="shared" si="2"/>
        <v>0</v>
      </c>
      <c r="G25" s="10"/>
      <c r="H25" s="11"/>
      <c r="I25" s="92">
        <f t="shared" si="0"/>
        <v>0</v>
      </c>
      <c r="J25" s="93">
        <f t="shared" si="3"/>
        <v>0</v>
      </c>
      <c r="K25" s="107"/>
      <c r="L25" s="109"/>
      <c r="M25" s="118"/>
      <c r="N25" s="120"/>
      <c r="O25" s="116"/>
      <c r="P25" s="107"/>
      <c r="Q25" s="109"/>
      <c r="R25" s="118"/>
      <c r="S25" s="120"/>
      <c r="T25" s="116"/>
      <c r="U25" s="107"/>
      <c r="V25" s="109"/>
      <c r="W25" s="111"/>
      <c r="X25" s="107"/>
      <c r="Y25" s="109"/>
      <c r="Z25" s="111"/>
    </row>
    <row r="26" ht="13.5" thickTop="1"/>
  </sheetData>
  <sheetProtection sheet="1" objects="1" scenarios="1" selectLockedCells="1"/>
  <mergeCells count="177">
    <mergeCell ref="O24:O25"/>
    <mergeCell ref="P24:P25"/>
    <mergeCell ref="N18:N19"/>
    <mergeCell ref="O18:O19"/>
    <mergeCell ref="P18:P19"/>
    <mergeCell ref="N22:N23"/>
    <mergeCell ref="O22:O23"/>
    <mergeCell ref="P22:P23"/>
    <mergeCell ref="O20:O21"/>
    <mergeCell ref="P20:P21"/>
    <mergeCell ref="O16:O17"/>
    <mergeCell ref="P16:P17"/>
    <mergeCell ref="O10:O11"/>
    <mergeCell ref="P10:P11"/>
    <mergeCell ref="O12:O13"/>
    <mergeCell ref="P12:P13"/>
    <mergeCell ref="N10:N11"/>
    <mergeCell ref="N14:N15"/>
    <mergeCell ref="O14:O15"/>
    <mergeCell ref="P14:P15"/>
    <mergeCell ref="N12:N13"/>
    <mergeCell ref="N16:N17"/>
    <mergeCell ref="N20:N21"/>
    <mergeCell ref="N24:N25"/>
    <mergeCell ref="K24:K25"/>
    <mergeCell ref="L24:L25"/>
    <mergeCell ref="M24:M25"/>
    <mergeCell ref="K22:K23"/>
    <mergeCell ref="L22:L23"/>
    <mergeCell ref="M22:M23"/>
    <mergeCell ref="M18:M19"/>
    <mergeCell ref="K20:K21"/>
    <mergeCell ref="L20:L21"/>
    <mergeCell ref="M20:M21"/>
    <mergeCell ref="M14:M15"/>
    <mergeCell ref="K16:K17"/>
    <mergeCell ref="L16:L17"/>
    <mergeCell ref="M16:M17"/>
    <mergeCell ref="P4:T4"/>
    <mergeCell ref="K8:K9"/>
    <mergeCell ref="L8:L9"/>
    <mergeCell ref="M8:M9"/>
    <mergeCell ref="N6:N7"/>
    <mergeCell ref="O8:O9"/>
    <mergeCell ref="P8:P9"/>
    <mergeCell ref="R6:R7"/>
    <mergeCell ref="S6:S7"/>
    <mergeCell ref="N8:N9"/>
    <mergeCell ref="A22:A23"/>
    <mergeCell ref="A24:A25"/>
    <mergeCell ref="K10:K11"/>
    <mergeCell ref="L10:L11"/>
    <mergeCell ref="K14:K15"/>
    <mergeCell ref="L14:L15"/>
    <mergeCell ref="K18:K19"/>
    <mergeCell ref="L18:L19"/>
    <mergeCell ref="A14:A15"/>
    <mergeCell ref="A16:A17"/>
    <mergeCell ref="K4:O4"/>
    <mergeCell ref="G4:J4"/>
    <mergeCell ref="A10:A11"/>
    <mergeCell ref="A12:A13"/>
    <mergeCell ref="A4:A5"/>
    <mergeCell ref="K6:K7"/>
    <mergeCell ref="L6:L7"/>
    <mergeCell ref="C4:F4"/>
    <mergeCell ref="M6:M7"/>
    <mergeCell ref="M10:M11"/>
    <mergeCell ref="T6:T7"/>
    <mergeCell ref="Q10:Q11"/>
    <mergeCell ref="R10:R11"/>
    <mergeCell ref="S10:S11"/>
    <mergeCell ref="Q6:Q7"/>
    <mergeCell ref="A20:A21"/>
    <mergeCell ref="A6:A7"/>
    <mergeCell ref="A8:A9"/>
    <mergeCell ref="O6:O7"/>
    <mergeCell ref="P6:P7"/>
    <mergeCell ref="A18:A19"/>
    <mergeCell ref="K12:K13"/>
    <mergeCell ref="L12:L13"/>
    <mergeCell ref="M12:M13"/>
    <mergeCell ref="S8:S9"/>
    <mergeCell ref="T8:T9"/>
    <mergeCell ref="Q8:Q9"/>
    <mergeCell ref="R8:R9"/>
    <mergeCell ref="T10:T11"/>
    <mergeCell ref="Q18:Q19"/>
    <mergeCell ref="Q12:Q13"/>
    <mergeCell ref="R12:R13"/>
    <mergeCell ref="S12:S13"/>
    <mergeCell ref="T12:T13"/>
    <mergeCell ref="Q14:Q15"/>
    <mergeCell ref="R14:R15"/>
    <mergeCell ref="Q16:Q17"/>
    <mergeCell ref="R16:R17"/>
    <mergeCell ref="U8:U9"/>
    <mergeCell ref="V8:V9"/>
    <mergeCell ref="U10:U11"/>
    <mergeCell ref="V10:V11"/>
    <mergeCell ref="V22:V23"/>
    <mergeCell ref="U18:U19"/>
    <mergeCell ref="V18:V19"/>
    <mergeCell ref="U20:U21"/>
    <mergeCell ref="V20:V21"/>
    <mergeCell ref="R18:R19"/>
    <mergeCell ref="S18:S19"/>
    <mergeCell ref="S16:S17"/>
    <mergeCell ref="U12:U13"/>
    <mergeCell ref="U16:U17"/>
    <mergeCell ref="U14:U15"/>
    <mergeCell ref="S14:S15"/>
    <mergeCell ref="T14:T15"/>
    <mergeCell ref="Q20:Q21"/>
    <mergeCell ref="R20:R21"/>
    <mergeCell ref="S20:S21"/>
    <mergeCell ref="T20:T21"/>
    <mergeCell ref="U24:U25"/>
    <mergeCell ref="V24:V25"/>
    <mergeCell ref="Q22:Q23"/>
    <mergeCell ref="R22:R23"/>
    <mergeCell ref="Q24:Q25"/>
    <mergeCell ref="R24:R25"/>
    <mergeCell ref="S24:S25"/>
    <mergeCell ref="T24:T25"/>
    <mergeCell ref="S22:S23"/>
    <mergeCell ref="U22:U23"/>
    <mergeCell ref="W24:W25"/>
    <mergeCell ref="W16:W17"/>
    <mergeCell ref="W18:W19"/>
    <mergeCell ref="W20:W21"/>
    <mergeCell ref="W22:W23"/>
    <mergeCell ref="T22:T23"/>
    <mergeCell ref="W8:W9"/>
    <mergeCell ref="W10:W11"/>
    <mergeCell ref="W12:W13"/>
    <mergeCell ref="W14:W15"/>
    <mergeCell ref="T16:T17"/>
    <mergeCell ref="V16:V17"/>
    <mergeCell ref="T18:T19"/>
    <mergeCell ref="V12:V13"/>
    <mergeCell ref="V14:V15"/>
    <mergeCell ref="U4:W4"/>
    <mergeCell ref="X4:Z4"/>
    <mergeCell ref="X6:X7"/>
    <mergeCell ref="Y6:Y7"/>
    <mergeCell ref="Z6:Z7"/>
    <mergeCell ref="W6:W7"/>
    <mergeCell ref="U6:U7"/>
    <mergeCell ref="V6:V7"/>
    <mergeCell ref="X8:X9"/>
    <mergeCell ref="Y8:Y9"/>
    <mergeCell ref="Z8:Z9"/>
    <mergeCell ref="X10:X11"/>
    <mergeCell ref="Y10:Y11"/>
    <mergeCell ref="Z10:Z11"/>
    <mergeCell ref="X12:X13"/>
    <mergeCell ref="Y12:Y13"/>
    <mergeCell ref="Z12:Z13"/>
    <mergeCell ref="X14:X15"/>
    <mergeCell ref="Y14:Y15"/>
    <mergeCell ref="Z14:Z15"/>
    <mergeCell ref="X16:X17"/>
    <mergeCell ref="Y16:Y17"/>
    <mergeCell ref="Z16:Z17"/>
    <mergeCell ref="X18:X19"/>
    <mergeCell ref="Y18:Y19"/>
    <mergeCell ref="Z18:Z19"/>
    <mergeCell ref="X24:X25"/>
    <mergeCell ref="Y24:Y25"/>
    <mergeCell ref="Z24:Z25"/>
    <mergeCell ref="X20:X21"/>
    <mergeCell ref="Y20:Y21"/>
    <mergeCell ref="Z20:Z21"/>
    <mergeCell ref="X22:X23"/>
    <mergeCell ref="Y22:Y23"/>
    <mergeCell ref="Z22:Z23"/>
  </mergeCells>
  <printOptions horizontalCentered="1" verticalCentered="1"/>
  <pageMargins left="0" right="0" top="0" bottom="0" header="0.5" footer="0.5"/>
  <pageSetup fitToHeight="1" fitToWidth="1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="75" zoomScaleNormal="75" zoomScalePageLayoutView="0" workbookViewId="0" topLeftCell="A7">
      <selection activeCell="I19" sqref="I19"/>
    </sheetView>
  </sheetViews>
  <sheetFormatPr defaultColWidth="9.140625" defaultRowHeight="12.75"/>
  <cols>
    <col min="1" max="1" width="20.7109375" style="28" customWidth="1"/>
    <col min="2" max="2" width="12.8515625" style="28" customWidth="1"/>
    <col min="3" max="3" width="5.7109375" style="28" customWidth="1"/>
    <col min="4" max="4" width="12.7109375" style="28" customWidth="1"/>
    <col min="5" max="5" width="5.7109375" style="28" customWidth="1"/>
    <col min="6" max="6" width="12.7109375" style="28" customWidth="1"/>
    <col min="7" max="7" width="5.7109375" style="28" customWidth="1"/>
    <col min="8" max="10" width="17.7109375" style="28" customWidth="1"/>
    <col min="11" max="19" width="12.7109375" style="28" customWidth="1"/>
    <col min="20" max="20" width="9.7109375" style="28" customWidth="1"/>
    <col min="21" max="16384" width="9.140625" style="28" customWidth="1"/>
  </cols>
  <sheetData>
    <row r="1" spans="1:20" ht="24.75">
      <c r="A1" s="157" t="str">
        <f>Scores!A1</f>
        <v>2009 MHSAA-MBA STATE MARCHING BAND CHAMPIONSHIP - PRELIMINARY ROUND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21"/>
      <c r="Q1" s="4"/>
      <c r="R1" s="4"/>
      <c r="S1" s="4"/>
      <c r="T1" s="4"/>
    </row>
    <row r="2" spans="1:20" ht="22.5">
      <c r="A2" s="158" t="str">
        <f>Scores!A2</f>
        <v>October 24, 2009 - Pearl, MS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22"/>
      <c r="Q2" s="5"/>
      <c r="R2" s="5"/>
      <c r="S2" s="5"/>
      <c r="T2" s="5"/>
    </row>
    <row r="3" spans="1:20" s="100" customFormat="1" ht="24" customHeight="1" thickBot="1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27"/>
      <c r="L3" s="27"/>
      <c r="M3" s="27"/>
      <c r="N3" s="27"/>
      <c r="O3" s="27"/>
      <c r="P3" s="27"/>
      <c r="Q3" s="6"/>
      <c r="R3" s="6"/>
      <c r="S3" s="6"/>
      <c r="T3" s="6"/>
    </row>
    <row r="4" spans="1:15" ht="18" customHeight="1" thickTop="1">
      <c r="A4" s="159" t="s">
        <v>1</v>
      </c>
      <c r="B4" s="161" t="s">
        <v>2</v>
      </c>
      <c r="C4" s="163"/>
      <c r="D4" s="163"/>
      <c r="E4" s="162"/>
      <c r="F4" s="161" t="s">
        <v>16</v>
      </c>
      <c r="G4" s="163"/>
      <c r="H4" s="163"/>
      <c r="I4" s="161" t="s">
        <v>3</v>
      </c>
      <c r="J4" s="162"/>
      <c r="L4" s="148" t="str">
        <f>Scores!A3</f>
        <v>CLASS 5A</v>
      </c>
      <c r="M4" s="149"/>
      <c r="N4" s="149"/>
      <c r="O4" s="150"/>
    </row>
    <row r="5" spans="1:15" ht="18" customHeight="1" thickBot="1">
      <c r="A5" s="160"/>
      <c r="B5" s="164" t="s">
        <v>5</v>
      </c>
      <c r="C5" s="165"/>
      <c r="D5" s="131" t="s">
        <v>6</v>
      </c>
      <c r="E5" s="132"/>
      <c r="F5" s="164" t="s">
        <v>5</v>
      </c>
      <c r="G5" s="165"/>
      <c r="H5" s="16" t="s">
        <v>11</v>
      </c>
      <c r="I5" s="1" t="s">
        <v>2</v>
      </c>
      <c r="J5" s="17" t="s">
        <v>16</v>
      </c>
      <c r="L5" s="151"/>
      <c r="M5" s="152"/>
      <c r="N5" s="152"/>
      <c r="O5" s="153"/>
    </row>
    <row r="6" spans="1:15" ht="24.75" customHeight="1" thickBot="1" thickTop="1">
      <c r="A6" s="12" t="str">
        <f>IF(Scores!A6="",0,Scores!A6)</f>
        <v>Wayne County</v>
      </c>
      <c r="B6" s="146">
        <f>Scores!F6</f>
        <v>29</v>
      </c>
      <c r="C6" s="147"/>
      <c r="D6" s="166">
        <f>Scores!F7</f>
        <v>29.1</v>
      </c>
      <c r="E6" s="167"/>
      <c r="F6" s="146">
        <f>Scores!J6</f>
        <v>21.3</v>
      </c>
      <c r="G6" s="147"/>
      <c r="H6" s="95">
        <f>Scores!J7</f>
        <v>24.3</v>
      </c>
      <c r="I6" s="96">
        <f>Scores!O6</f>
        <v>11.25</v>
      </c>
      <c r="J6" s="97">
        <f>Scores!T6</f>
        <v>11.549999999999999</v>
      </c>
      <c r="L6" s="151"/>
      <c r="M6" s="152"/>
      <c r="N6" s="152"/>
      <c r="O6" s="153"/>
    </row>
    <row r="7" spans="1:15" ht="24.75" customHeight="1" thickBot="1" thickTop="1">
      <c r="A7" s="12" t="str">
        <f>IF(Scores!A8="",0,Scores!A8)</f>
        <v>West Harrison</v>
      </c>
      <c r="B7" s="146">
        <f>Scores!F8</f>
        <v>29.6</v>
      </c>
      <c r="C7" s="147"/>
      <c r="D7" s="166">
        <f>Scores!F9</f>
        <v>30</v>
      </c>
      <c r="E7" s="167"/>
      <c r="F7" s="146">
        <f>Scores!J8</f>
        <v>23.7</v>
      </c>
      <c r="G7" s="147"/>
      <c r="H7" s="95">
        <f>Scores!J9</f>
        <v>23.7</v>
      </c>
      <c r="I7" s="96">
        <f>Scores!O8</f>
        <v>11.549999999999999</v>
      </c>
      <c r="J7" s="97">
        <f>Scores!T8</f>
        <v>11.85</v>
      </c>
      <c r="L7" s="151"/>
      <c r="M7" s="152"/>
      <c r="N7" s="152"/>
      <c r="O7" s="153"/>
    </row>
    <row r="8" spans="1:15" ht="24.75" customHeight="1" thickBot="1" thickTop="1">
      <c r="A8" s="12" t="str">
        <f>IF(Scores!A10="",0,Scores!A10)</f>
        <v>Long Beach</v>
      </c>
      <c r="B8" s="146">
        <f>Scores!F10</f>
        <v>36</v>
      </c>
      <c r="C8" s="147"/>
      <c r="D8" s="166">
        <f>Scores!F11</f>
        <v>34.9</v>
      </c>
      <c r="E8" s="167"/>
      <c r="F8" s="146">
        <f>Scores!J10</f>
        <v>23.25</v>
      </c>
      <c r="G8" s="147"/>
      <c r="H8" s="95">
        <f>Scores!J11</f>
        <v>26.7</v>
      </c>
      <c r="I8" s="96">
        <f>Scores!O10</f>
        <v>12.15</v>
      </c>
      <c r="J8" s="97">
        <f>Scores!T10</f>
        <v>13.2</v>
      </c>
      <c r="L8" s="151"/>
      <c r="M8" s="152"/>
      <c r="N8" s="152"/>
      <c r="O8" s="153"/>
    </row>
    <row r="9" spans="1:15" ht="24.75" customHeight="1" thickBot="1" thickTop="1">
      <c r="A9" s="12" t="str">
        <f>IF(Scores!A12="",0,Scores!A12)</f>
        <v>Ridgeland</v>
      </c>
      <c r="B9" s="146">
        <f>Scores!F12</f>
        <v>37.4</v>
      </c>
      <c r="C9" s="147"/>
      <c r="D9" s="166">
        <f>Scores!F13</f>
        <v>34.5</v>
      </c>
      <c r="E9" s="167"/>
      <c r="F9" s="146">
        <f>Scores!J12</f>
        <v>22.5</v>
      </c>
      <c r="G9" s="147"/>
      <c r="H9" s="95">
        <f>Scores!J13</f>
        <v>26.4</v>
      </c>
      <c r="I9" s="96">
        <f>Scores!O12</f>
        <v>12.6</v>
      </c>
      <c r="J9" s="97">
        <f>Scores!T12</f>
        <v>12.45</v>
      </c>
      <c r="L9" s="151"/>
      <c r="M9" s="152"/>
      <c r="N9" s="152"/>
      <c r="O9" s="153"/>
    </row>
    <row r="10" spans="1:15" ht="24.75" customHeight="1" thickBot="1" thickTop="1">
      <c r="A10" s="12" t="str">
        <f>IF(Scores!A14="",0,Scores!A14)</f>
        <v>Vancleave</v>
      </c>
      <c r="B10" s="146">
        <f>Scores!F14</f>
        <v>28.8</v>
      </c>
      <c r="C10" s="147"/>
      <c r="D10" s="166">
        <f>Scores!F15</f>
        <v>27.700000000000003</v>
      </c>
      <c r="E10" s="167"/>
      <c r="F10" s="146">
        <f>Scores!J14</f>
        <v>20.25</v>
      </c>
      <c r="G10" s="147"/>
      <c r="H10" s="95">
        <f>Scores!J15</f>
        <v>22.5</v>
      </c>
      <c r="I10" s="96">
        <f>Scores!O14</f>
        <v>11.4</v>
      </c>
      <c r="J10" s="97">
        <f>Scores!T14</f>
        <v>11.1</v>
      </c>
      <c r="L10" s="151"/>
      <c r="M10" s="152"/>
      <c r="N10" s="152"/>
      <c r="O10" s="153"/>
    </row>
    <row r="11" spans="1:15" ht="24.75" customHeight="1" thickBot="1" thickTop="1">
      <c r="A11" s="12" t="str">
        <f>IF(Scores!A16="",0,Scores!A16)</f>
        <v>Saltillo</v>
      </c>
      <c r="B11" s="146">
        <f>Scores!F16</f>
        <v>30.6</v>
      </c>
      <c r="C11" s="147"/>
      <c r="D11" s="166">
        <f>Scores!F17</f>
        <v>31.200000000000003</v>
      </c>
      <c r="E11" s="167"/>
      <c r="F11" s="146">
        <f>Scores!J16</f>
        <v>20.849999999999998</v>
      </c>
      <c r="G11" s="147"/>
      <c r="H11" s="95">
        <f>Scores!J17</f>
        <v>22.95</v>
      </c>
      <c r="I11" s="96">
        <f>Scores!O16</f>
        <v>11.775</v>
      </c>
      <c r="J11" s="97">
        <f>Scores!T16</f>
        <v>12.075</v>
      </c>
      <c r="L11" s="151"/>
      <c r="M11" s="152"/>
      <c r="N11" s="152"/>
      <c r="O11" s="153"/>
    </row>
    <row r="12" spans="1:15" ht="24.75" customHeight="1" thickBot="1" thickTop="1">
      <c r="A12" s="12" t="str">
        <f>IF(Scores!A18="",0,Scores!A18)</f>
        <v>Stone</v>
      </c>
      <c r="B12" s="146">
        <f>Scores!F18</f>
        <v>36.7</v>
      </c>
      <c r="C12" s="147"/>
      <c r="D12" s="166">
        <f>Scores!F19</f>
        <v>33.9</v>
      </c>
      <c r="E12" s="167"/>
      <c r="F12" s="146">
        <f>Scores!J18</f>
        <v>24.75</v>
      </c>
      <c r="G12" s="147"/>
      <c r="H12" s="95">
        <f>Scores!J19</f>
        <v>27.15</v>
      </c>
      <c r="I12" s="96">
        <f>Scores!O18</f>
        <v>12.9</v>
      </c>
      <c r="J12" s="97">
        <f>Scores!T18</f>
        <v>13.275</v>
      </c>
      <c r="L12" s="151"/>
      <c r="M12" s="152"/>
      <c r="N12" s="152"/>
      <c r="O12" s="153"/>
    </row>
    <row r="13" spans="1:15" ht="24.75" customHeight="1" thickBot="1" thickTop="1">
      <c r="A13" s="12" t="str">
        <f>IF(Scores!A20="",0,Scores!A20)</f>
        <v>Pearl</v>
      </c>
      <c r="B13" s="146">
        <f>Scores!F20</f>
        <v>37.9</v>
      </c>
      <c r="C13" s="147"/>
      <c r="D13" s="166">
        <f>Scores!F21</f>
        <v>36</v>
      </c>
      <c r="E13" s="167"/>
      <c r="F13" s="146">
        <f>Scores!J20</f>
        <v>27</v>
      </c>
      <c r="G13" s="147"/>
      <c r="H13" s="95">
        <f>Scores!J21</f>
        <v>27.9</v>
      </c>
      <c r="I13" s="96">
        <f>Scores!O20</f>
        <v>13.2</v>
      </c>
      <c r="J13" s="97">
        <f>Scores!T20</f>
        <v>13.725</v>
      </c>
      <c r="L13" s="151"/>
      <c r="M13" s="152"/>
      <c r="N13" s="152"/>
      <c r="O13" s="153"/>
    </row>
    <row r="14" spans="1:15" ht="24.75" customHeight="1" thickBot="1" thickTop="1">
      <c r="A14" s="12" t="str">
        <f>IF(Scores!A22="",0,Scores!A22)</f>
        <v>New Hope</v>
      </c>
      <c r="B14" s="146">
        <f>Scores!F22</f>
        <v>29.8</v>
      </c>
      <c r="C14" s="147"/>
      <c r="D14" s="166">
        <f>Scores!F23</f>
        <v>28.8</v>
      </c>
      <c r="E14" s="167"/>
      <c r="F14" s="146">
        <f>Scores!J22</f>
        <v>22.95</v>
      </c>
      <c r="G14" s="147"/>
      <c r="H14" s="95">
        <f>Scores!J23</f>
        <v>23.4</v>
      </c>
      <c r="I14" s="96">
        <f>Scores!O22</f>
        <v>11.924999999999999</v>
      </c>
      <c r="J14" s="97">
        <f>Scores!T22</f>
        <v>11.325</v>
      </c>
      <c r="L14" s="151"/>
      <c r="M14" s="152"/>
      <c r="N14" s="152"/>
      <c r="O14" s="153"/>
    </row>
    <row r="15" spans="1:15" ht="24.75" customHeight="1" thickBot="1" thickTop="1">
      <c r="A15" s="12">
        <f>IF(Scores!A24="",0,Scores!A24)</f>
        <v>0</v>
      </c>
      <c r="B15" s="146">
        <f>Scores!F24</f>
        <v>0</v>
      </c>
      <c r="C15" s="147"/>
      <c r="D15" s="166">
        <f>Scores!F25</f>
        <v>0</v>
      </c>
      <c r="E15" s="167"/>
      <c r="F15" s="146">
        <f>Scores!J24</f>
        <v>0</v>
      </c>
      <c r="G15" s="147"/>
      <c r="H15" s="95">
        <f>Scores!J25</f>
        <v>0</v>
      </c>
      <c r="I15" s="96">
        <f>Scores!O24</f>
        <v>0</v>
      </c>
      <c r="J15" s="97">
        <f>Scores!T24</f>
        <v>0</v>
      </c>
      <c r="L15" s="154"/>
      <c r="M15" s="155"/>
      <c r="N15" s="155"/>
      <c r="O15" s="156"/>
    </row>
    <row r="16" spans="1:20" ht="30" customHeight="1" thickBot="1" thickTop="1">
      <c r="A16" s="140" t="s">
        <v>7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01"/>
      <c r="O16" s="101"/>
      <c r="P16" s="101"/>
      <c r="Q16" s="7"/>
      <c r="R16" s="7"/>
      <c r="S16" s="7"/>
      <c r="T16" s="7"/>
    </row>
    <row r="17" spans="1:17" ht="17.25" customHeight="1" thickTop="1">
      <c r="A17" s="141" t="s">
        <v>1</v>
      </c>
      <c r="B17" s="143" t="s">
        <v>2</v>
      </c>
      <c r="C17" s="144"/>
      <c r="D17" s="143" t="s">
        <v>16</v>
      </c>
      <c r="E17" s="144"/>
      <c r="F17" s="133" t="s">
        <v>19</v>
      </c>
      <c r="G17" s="145"/>
      <c r="H17" s="133" t="s">
        <v>17</v>
      </c>
      <c r="I17" s="134"/>
      <c r="J17" s="134"/>
      <c r="K17" s="135"/>
      <c r="L17" s="136" t="s">
        <v>4</v>
      </c>
      <c r="M17" s="137"/>
      <c r="N17" s="138" t="s">
        <v>12</v>
      </c>
      <c r="O17" s="139"/>
      <c r="P17" s="102"/>
      <c r="Q17" s="102"/>
    </row>
    <row r="18" spans="1:15" ht="17.25" customHeight="1" thickBot="1">
      <c r="A18" s="142"/>
      <c r="B18" s="23" t="s">
        <v>9</v>
      </c>
      <c r="C18" s="24" t="s">
        <v>15</v>
      </c>
      <c r="D18" s="23" t="s">
        <v>9</v>
      </c>
      <c r="E18" s="24" t="s">
        <v>15</v>
      </c>
      <c r="F18" s="23" t="s">
        <v>18</v>
      </c>
      <c r="G18" s="24" t="s">
        <v>15</v>
      </c>
      <c r="H18" s="41" t="s">
        <v>18</v>
      </c>
      <c r="I18" s="47" t="s">
        <v>20</v>
      </c>
      <c r="J18" s="42" t="s">
        <v>21</v>
      </c>
      <c r="K18" s="43" t="s">
        <v>8</v>
      </c>
      <c r="L18" s="25" t="s">
        <v>14</v>
      </c>
      <c r="M18" s="26" t="s">
        <v>8</v>
      </c>
      <c r="N18" s="39" t="s">
        <v>14</v>
      </c>
      <c r="O18" s="40" t="s">
        <v>8</v>
      </c>
    </row>
    <row r="19" spans="1:15" ht="24.75" customHeight="1" thickBot="1" thickTop="1">
      <c r="A19" s="12" t="str">
        <f aca="true" t="shared" si="0" ref="A19:A28">A6</f>
        <v>Wayne County</v>
      </c>
      <c r="B19" s="18">
        <f aca="true" t="shared" si="1" ref="B19:B28">(B6+D6)/2</f>
        <v>29.05</v>
      </c>
      <c r="C19" s="19">
        <f aca="true" t="shared" si="2" ref="C19:C28">IF(B19=0,"",RANK(B19,$B$19:$B$28,0))</f>
        <v>8</v>
      </c>
      <c r="D19" s="18">
        <f aca="true" t="shared" si="3" ref="D19:D28">(F6+H6)/2</f>
        <v>22.8</v>
      </c>
      <c r="E19" s="19">
        <f aca="true" t="shared" si="4" ref="E19:E28">IF(D19=0,"",RANK(D19,$D$19:$D$28,0))</f>
        <v>7</v>
      </c>
      <c r="F19" s="18">
        <f aca="true" t="shared" si="5" ref="F19:F28">(I6+J6)</f>
        <v>22.799999999999997</v>
      </c>
      <c r="G19" s="19">
        <f aca="true" t="shared" si="6" ref="G19:G28">IF(F19=0,"",RANK(F19,$F$19:$F$28,0))</f>
        <v>8</v>
      </c>
      <c r="H19" s="44">
        <f>B19+D19+F19</f>
        <v>74.65</v>
      </c>
      <c r="I19" s="98"/>
      <c r="J19" s="45">
        <f>H19-I19</f>
        <v>74.65</v>
      </c>
      <c r="K19" s="19">
        <f aca="true" t="shared" si="7" ref="K19:K28">IF(J19=0,"",RANK(J19,$J$19:$J$28,0))</f>
        <v>8</v>
      </c>
      <c r="L19" s="78">
        <f>Scores!W6</f>
        <v>82.5</v>
      </c>
      <c r="M19" s="20">
        <f aca="true" t="shared" si="8" ref="M19:M28">IF(L19=0,"",RANK(L19,$L$19:$L$28,0))</f>
        <v>5</v>
      </c>
      <c r="N19" s="79">
        <f>Scores!Z6</f>
        <v>86.5</v>
      </c>
      <c r="O19" s="35">
        <f aca="true" t="shared" si="9" ref="O19:O28">IF(N19=0,"",RANK(N19,$N$19:$N$28,0))</f>
        <v>4</v>
      </c>
    </row>
    <row r="20" spans="1:15" ht="24.75" customHeight="1" thickBot="1" thickTop="1">
      <c r="A20" s="12" t="str">
        <f t="shared" si="0"/>
        <v>West Harrison</v>
      </c>
      <c r="B20" s="18">
        <f t="shared" si="1"/>
        <v>29.8</v>
      </c>
      <c r="C20" s="19">
        <f t="shared" si="2"/>
        <v>6</v>
      </c>
      <c r="D20" s="18">
        <f t="shared" si="3"/>
        <v>23.7</v>
      </c>
      <c r="E20" s="19">
        <f t="shared" si="4"/>
        <v>5</v>
      </c>
      <c r="F20" s="18">
        <f t="shared" si="5"/>
        <v>23.4</v>
      </c>
      <c r="G20" s="19">
        <f t="shared" si="6"/>
        <v>6</v>
      </c>
      <c r="H20" s="46">
        <f aca="true" t="shared" si="10" ref="H20:H28">B20+D20+F20</f>
        <v>76.9</v>
      </c>
      <c r="I20" s="98"/>
      <c r="J20" s="45">
        <f aca="true" t="shared" si="11" ref="J20:J28">H20-I20</f>
        <v>76.9</v>
      </c>
      <c r="K20" s="19">
        <f t="shared" si="7"/>
        <v>5</v>
      </c>
      <c r="L20" s="78">
        <f>Scores!W8</f>
        <v>78.5</v>
      </c>
      <c r="M20" s="20">
        <f t="shared" si="8"/>
        <v>6</v>
      </c>
      <c r="N20" s="79">
        <f>Scores!Z8</f>
        <v>76</v>
      </c>
      <c r="O20" s="35">
        <f t="shared" si="9"/>
        <v>6</v>
      </c>
    </row>
    <row r="21" spans="1:15" ht="24.75" customHeight="1" thickBot="1" thickTop="1">
      <c r="A21" s="12" t="str">
        <f t="shared" si="0"/>
        <v>Long Beach</v>
      </c>
      <c r="B21" s="18">
        <f t="shared" si="1"/>
        <v>35.45</v>
      </c>
      <c r="C21" s="19">
        <f t="shared" si="2"/>
        <v>3</v>
      </c>
      <c r="D21" s="18">
        <f t="shared" si="3"/>
        <v>24.975</v>
      </c>
      <c r="E21" s="19">
        <f t="shared" si="4"/>
        <v>3</v>
      </c>
      <c r="F21" s="18">
        <f t="shared" si="5"/>
        <v>25.35</v>
      </c>
      <c r="G21" s="19">
        <f t="shared" si="6"/>
        <v>3</v>
      </c>
      <c r="H21" s="46">
        <f t="shared" si="10"/>
        <v>85.775</v>
      </c>
      <c r="I21" s="98"/>
      <c r="J21" s="45">
        <f t="shared" si="11"/>
        <v>85.775</v>
      </c>
      <c r="K21" s="19">
        <f t="shared" si="7"/>
        <v>3</v>
      </c>
      <c r="L21" s="78">
        <f>Scores!W10</f>
        <v>84.5</v>
      </c>
      <c r="M21" s="20">
        <f t="shared" si="8"/>
        <v>4</v>
      </c>
      <c r="N21" s="79">
        <f>Scores!Z10</f>
        <v>87.5</v>
      </c>
      <c r="O21" s="35">
        <f t="shared" si="9"/>
        <v>3</v>
      </c>
    </row>
    <row r="22" spans="1:15" ht="24.75" customHeight="1" thickBot="1" thickTop="1">
      <c r="A22" s="12" t="str">
        <f t="shared" si="0"/>
        <v>Ridgeland</v>
      </c>
      <c r="B22" s="18">
        <f t="shared" si="1"/>
        <v>35.95</v>
      </c>
      <c r="C22" s="19">
        <f t="shared" si="2"/>
        <v>2</v>
      </c>
      <c r="D22" s="18">
        <f t="shared" si="3"/>
        <v>24.45</v>
      </c>
      <c r="E22" s="19">
        <f t="shared" si="4"/>
        <v>4</v>
      </c>
      <c r="F22" s="18">
        <f t="shared" si="5"/>
        <v>25.049999999999997</v>
      </c>
      <c r="G22" s="19">
        <f t="shared" si="6"/>
        <v>4</v>
      </c>
      <c r="H22" s="46">
        <f t="shared" si="10"/>
        <v>85.45</v>
      </c>
      <c r="I22" s="98"/>
      <c r="J22" s="45">
        <f t="shared" si="11"/>
        <v>85.45</v>
      </c>
      <c r="K22" s="19">
        <f t="shared" si="7"/>
        <v>4</v>
      </c>
      <c r="L22" s="78">
        <f>Scores!W12</f>
        <v>88.5</v>
      </c>
      <c r="M22" s="20">
        <f t="shared" si="8"/>
        <v>2</v>
      </c>
      <c r="N22" s="79">
        <f>Scores!Z12</f>
        <v>91</v>
      </c>
      <c r="O22" s="35">
        <f t="shared" si="9"/>
        <v>1</v>
      </c>
    </row>
    <row r="23" spans="1:15" ht="24.75" customHeight="1" thickBot="1" thickTop="1">
      <c r="A23" s="12" t="str">
        <f t="shared" si="0"/>
        <v>Vancleave</v>
      </c>
      <c r="B23" s="18">
        <f t="shared" si="1"/>
        <v>28.25</v>
      </c>
      <c r="C23" s="19">
        <f t="shared" si="2"/>
        <v>9</v>
      </c>
      <c r="D23" s="18">
        <f t="shared" si="3"/>
        <v>21.375</v>
      </c>
      <c r="E23" s="19">
        <f t="shared" si="4"/>
        <v>9</v>
      </c>
      <c r="F23" s="18">
        <f t="shared" si="5"/>
        <v>22.5</v>
      </c>
      <c r="G23" s="19">
        <f t="shared" si="6"/>
        <v>9</v>
      </c>
      <c r="H23" s="46">
        <f t="shared" si="10"/>
        <v>72.125</v>
      </c>
      <c r="I23" s="98"/>
      <c r="J23" s="45">
        <f t="shared" si="11"/>
        <v>72.125</v>
      </c>
      <c r="K23" s="19">
        <f t="shared" si="7"/>
        <v>9</v>
      </c>
      <c r="L23" s="78">
        <f>Scores!W14</f>
        <v>73.5</v>
      </c>
      <c r="M23" s="20">
        <f t="shared" si="8"/>
        <v>9</v>
      </c>
      <c r="N23" s="79">
        <f>Scores!Z14</f>
        <v>73.5</v>
      </c>
      <c r="O23" s="35">
        <f t="shared" si="9"/>
        <v>7</v>
      </c>
    </row>
    <row r="24" spans="1:15" ht="24.75" customHeight="1" thickBot="1" thickTop="1">
      <c r="A24" s="12" t="str">
        <f t="shared" si="0"/>
        <v>Saltillo</v>
      </c>
      <c r="B24" s="18">
        <f t="shared" si="1"/>
        <v>30.900000000000002</v>
      </c>
      <c r="C24" s="19">
        <f t="shared" si="2"/>
        <v>5</v>
      </c>
      <c r="D24" s="18">
        <f t="shared" si="3"/>
        <v>21.9</v>
      </c>
      <c r="E24" s="19">
        <f t="shared" si="4"/>
        <v>8</v>
      </c>
      <c r="F24" s="18">
        <f t="shared" si="5"/>
        <v>23.85</v>
      </c>
      <c r="G24" s="19">
        <f t="shared" si="6"/>
        <v>5</v>
      </c>
      <c r="H24" s="46">
        <f t="shared" si="10"/>
        <v>76.65</v>
      </c>
      <c r="I24" s="98"/>
      <c r="J24" s="45">
        <f t="shared" si="11"/>
        <v>76.65</v>
      </c>
      <c r="K24" s="19">
        <f t="shared" si="7"/>
        <v>6</v>
      </c>
      <c r="L24" s="78">
        <f>Scores!W16</f>
        <v>75.5</v>
      </c>
      <c r="M24" s="20">
        <f t="shared" si="8"/>
        <v>7</v>
      </c>
      <c r="N24" s="79">
        <f>Scores!Z16</f>
        <v>72.5</v>
      </c>
      <c r="O24" s="35">
        <f t="shared" si="9"/>
        <v>8</v>
      </c>
    </row>
    <row r="25" spans="1:15" ht="24.75" customHeight="1" thickBot="1" thickTop="1">
      <c r="A25" s="12" t="str">
        <f t="shared" si="0"/>
        <v>Stone</v>
      </c>
      <c r="B25" s="18">
        <f t="shared" si="1"/>
        <v>35.3</v>
      </c>
      <c r="C25" s="19">
        <f t="shared" si="2"/>
        <v>4</v>
      </c>
      <c r="D25" s="18">
        <f t="shared" si="3"/>
        <v>25.95</v>
      </c>
      <c r="E25" s="19">
        <f t="shared" si="4"/>
        <v>2</v>
      </c>
      <c r="F25" s="18">
        <f t="shared" si="5"/>
        <v>26.175</v>
      </c>
      <c r="G25" s="19">
        <f t="shared" si="6"/>
        <v>2</v>
      </c>
      <c r="H25" s="46">
        <f t="shared" si="10"/>
        <v>87.425</v>
      </c>
      <c r="I25" s="98"/>
      <c r="J25" s="45">
        <f t="shared" si="11"/>
        <v>87.425</v>
      </c>
      <c r="K25" s="19">
        <f t="shared" si="7"/>
        <v>2</v>
      </c>
      <c r="L25" s="78">
        <f>Scores!W18</f>
        <v>86.5</v>
      </c>
      <c r="M25" s="20">
        <f t="shared" si="8"/>
        <v>3</v>
      </c>
      <c r="N25" s="79">
        <f>Scores!Z18</f>
        <v>83</v>
      </c>
      <c r="O25" s="35">
        <f t="shared" si="9"/>
        <v>5</v>
      </c>
    </row>
    <row r="26" spans="1:15" ht="24.75" customHeight="1" thickBot="1" thickTop="1">
      <c r="A26" s="12" t="str">
        <f t="shared" si="0"/>
        <v>Pearl</v>
      </c>
      <c r="B26" s="18">
        <f t="shared" si="1"/>
        <v>36.95</v>
      </c>
      <c r="C26" s="19">
        <f t="shared" si="2"/>
        <v>1</v>
      </c>
      <c r="D26" s="18">
        <f t="shared" si="3"/>
        <v>27.45</v>
      </c>
      <c r="E26" s="19">
        <f t="shared" si="4"/>
        <v>1</v>
      </c>
      <c r="F26" s="18">
        <f t="shared" si="5"/>
        <v>26.924999999999997</v>
      </c>
      <c r="G26" s="19">
        <f t="shared" si="6"/>
        <v>1</v>
      </c>
      <c r="H26" s="46">
        <f t="shared" si="10"/>
        <v>91.325</v>
      </c>
      <c r="I26" s="98"/>
      <c r="J26" s="45">
        <f t="shared" si="11"/>
        <v>91.325</v>
      </c>
      <c r="K26" s="19">
        <f t="shared" si="7"/>
        <v>1</v>
      </c>
      <c r="L26" s="78">
        <f>Scores!W20</f>
        <v>92</v>
      </c>
      <c r="M26" s="20">
        <f t="shared" si="8"/>
        <v>1</v>
      </c>
      <c r="N26" s="79">
        <f>Scores!Z20</f>
        <v>88</v>
      </c>
      <c r="O26" s="35">
        <f t="shared" si="9"/>
        <v>2</v>
      </c>
    </row>
    <row r="27" spans="1:15" ht="24.75" customHeight="1" thickBot="1" thickTop="1">
      <c r="A27" s="12" t="str">
        <f t="shared" si="0"/>
        <v>New Hope</v>
      </c>
      <c r="B27" s="18">
        <f t="shared" si="1"/>
        <v>29.3</v>
      </c>
      <c r="C27" s="19">
        <f t="shared" si="2"/>
        <v>7</v>
      </c>
      <c r="D27" s="18">
        <f t="shared" si="3"/>
        <v>23.174999999999997</v>
      </c>
      <c r="E27" s="19">
        <f t="shared" si="4"/>
        <v>6</v>
      </c>
      <c r="F27" s="18">
        <f t="shared" si="5"/>
        <v>23.25</v>
      </c>
      <c r="G27" s="19">
        <f t="shared" si="6"/>
        <v>7</v>
      </c>
      <c r="H27" s="46">
        <f t="shared" si="10"/>
        <v>75.725</v>
      </c>
      <c r="I27" s="98"/>
      <c r="J27" s="45">
        <f t="shared" si="11"/>
        <v>75.725</v>
      </c>
      <c r="K27" s="19">
        <f t="shared" si="7"/>
        <v>7</v>
      </c>
      <c r="L27" s="78">
        <f>Scores!W22</f>
        <v>74.5</v>
      </c>
      <c r="M27" s="20">
        <f t="shared" si="8"/>
        <v>8</v>
      </c>
      <c r="N27" s="79">
        <f>Scores!Z22</f>
        <v>72</v>
      </c>
      <c r="O27" s="35">
        <f t="shared" si="9"/>
        <v>9</v>
      </c>
    </row>
    <row r="28" spans="1:15" ht="24.75" customHeight="1" thickBot="1" thickTop="1">
      <c r="A28" s="12">
        <f t="shared" si="0"/>
        <v>0</v>
      </c>
      <c r="B28" s="18">
        <f t="shared" si="1"/>
        <v>0</v>
      </c>
      <c r="C28" s="19">
        <f t="shared" si="2"/>
      </c>
      <c r="D28" s="18">
        <f t="shared" si="3"/>
        <v>0</v>
      </c>
      <c r="E28" s="19">
        <f t="shared" si="4"/>
      </c>
      <c r="F28" s="18">
        <f t="shared" si="5"/>
        <v>0</v>
      </c>
      <c r="G28" s="19">
        <f t="shared" si="6"/>
      </c>
      <c r="H28" s="46">
        <f t="shared" si="10"/>
        <v>0</v>
      </c>
      <c r="I28" s="98"/>
      <c r="J28" s="45">
        <f t="shared" si="11"/>
        <v>0</v>
      </c>
      <c r="K28" s="19">
        <f t="shared" si="7"/>
      </c>
      <c r="L28" s="78">
        <f>Scores!W24</f>
        <v>0</v>
      </c>
      <c r="M28" s="20">
        <f t="shared" si="8"/>
      </c>
      <c r="N28" s="79">
        <f>Scores!Z24</f>
        <v>0</v>
      </c>
      <c r="O28" s="35">
        <f t="shared" si="9"/>
      </c>
    </row>
    <row r="29" ht="13.5" thickTop="1"/>
  </sheetData>
  <sheetProtection sheet="1" objects="1" scenarios="1" selectLockedCells="1"/>
  <mergeCells count="49">
    <mergeCell ref="F6:G6"/>
    <mergeCell ref="F9:G9"/>
    <mergeCell ref="D8:E8"/>
    <mergeCell ref="D9:E9"/>
    <mergeCell ref="F7:G7"/>
    <mergeCell ref="F8:G8"/>
    <mergeCell ref="D12:E12"/>
    <mergeCell ref="F15:G15"/>
    <mergeCell ref="F12:G12"/>
    <mergeCell ref="D14:E14"/>
    <mergeCell ref="D15:E15"/>
    <mergeCell ref="F13:G13"/>
    <mergeCell ref="F14:G14"/>
    <mergeCell ref="D10:E10"/>
    <mergeCell ref="D6:E6"/>
    <mergeCell ref="B10:C10"/>
    <mergeCell ref="B15:C15"/>
    <mergeCell ref="D13:E13"/>
    <mergeCell ref="D11:E11"/>
    <mergeCell ref="B14:C14"/>
    <mergeCell ref="B12:C12"/>
    <mergeCell ref="A3:J3"/>
    <mergeCell ref="F4:H4"/>
    <mergeCell ref="F10:G10"/>
    <mergeCell ref="F11:G11"/>
    <mergeCell ref="F5:G5"/>
    <mergeCell ref="B11:C11"/>
    <mergeCell ref="D7:E7"/>
    <mergeCell ref="B6:C6"/>
    <mergeCell ref="L4:O15"/>
    <mergeCell ref="A1:O1"/>
    <mergeCell ref="A2:O2"/>
    <mergeCell ref="A4:A5"/>
    <mergeCell ref="I4:J4"/>
    <mergeCell ref="B4:E4"/>
    <mergeCell ref="B7:C7"/>
    <mergeCell ref="B8:C8"/>
    <mergeCell ref="B5:C5"/>
    <mergeCell ref="B13:C13"/>
    <mergeCell ref="D5:E5"/>
    <mergeCell ref="H17:K17"/>
    <mergeCell ref="L17:M17"/>
    <mergeCell ref="N17:O17"/>
    <mergeCell ref="A16:M16"/>
    <mergeCell ref="A17:A18"/>
    <mergeCell ref="B17:C17"/>
    <mergeCell ref="D17:E17"/>
    <mergeCell ref="F17:G17"/>
    <mergeCell ref="B9:C9"/>
  </mergeCells>
  <printOptions horizontalCentered="1" verticalCentered="1"/>
  <pageMargins left="0" right="0" top="0" bottom="0" header="0.5" footer="0.5"/>
  <pageSetup fitToHeight="1" fitToWidth="1"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zoomScalePageLayoutView="0" workbookViewId="0" topLeftCell="A2">
      <selection activeCell="A14" sqref="A14:IV14"/>
    </sheetView>
  </sheetViews>
  <sheetFormatPr defaultColWidth="9.140625" defaultRowHeight="12.75"/>
  <cols>
    <col min="1" max="1" width="6.28125" style="59" customWidth="1"/>
    <col min="2" max="2" width="15.7109375" style="2" customWidth="1"/>
    <col min="3" max="3" width="6.7109375" style="2" customWidth="1"/>
    <col min="4" max="4" width="15.7109375" style="2" customWidth="1"/>
    <col min="5" max="5" width="6.7109375" style="2" customWidth="1"/>
    <col min="6" max="6" width="15.7109375" style="2" customWidth="1"/>
    <col min="7" max="7" width="6.7109375" style="2" customWidth="1"/>
    <col min="8" max="8" width="15.7109375" style="2" customWidth="1"/>
    <col min="9" max="9" width="6.7109375" style="2" customWidth="1"/>
    <col min="10" max="10" width="15.7109375" style="2" customWidth="1"/>
    <col min="11" max="11" width="6.7109375" style="2" customWidth="1"/>
    <col min="12" max="12" width="15.7109375" style="2" customWidth="1"/>
    <col min="13" max="13" width="6.7109375" style="2" customWidth="1"/>
    <col min="14" max="16384" width="9.140625" style="2" customWidth="1"/>
  </cols>
  <sheetData>
    <row r="1" ht="18">
      <c r="A1" s="64" t="str">
        <f>Scores!A1</f>
        <v>2009 MHSAA-MBA STATE MARCHING BAND CHAMPIONSHIP - PRELIMINARY ROUND</v>
      </c>
    </row>
    <row r="2" ht="19.5" thickBot="1">
      <c r="A2" s="65" t="s">
        <v>41</v>
      </c>
    </row>
    <row r="3" spans="1:13" ht="18" customHeight="1" thickTop="1">
      <c r="A3" s="174" t="s">
        <v>8</v>
      </c>
      <c r="B3" s="176" t="s">
        <v>2</v>
      </c>
      <c r="C3" s="177"/>
      <c r="D3" s="176" t="s">
        <v>16</v>
      </c>
      <c r="E3" s="177"/>
      <c r="F3" s="172" t="s">
        <v>19</v>
      </c>
      <c r="G3" s="178"/>
      <c r="H3" s="172" t="s">
        <v>17</v>
      </c>
      <c r="I3" s="173"/>
      <c r="J3" s="168" t="s">
        <v>4</v>
      </c>
      <c r="K3" s="169"/>
      <c r="L3" s="170" t="s">
        <v>12</v>
      </c>
      <c r="M3" s="171"/>
    </row>
    <row r="4" spans="1:13" ht="18" customHeight="1" thickBot="1">
      <c r="A4" s="175"/>
      <c r="B4" s="69" t="s">
        <v>39</v>
      </c>
      <c r="C4" s="70" t="s">
        <v>40</v>
      </c>
      <c r="D4" s="69" t="s">
        <v>39</v>
      </c>
      <c r="E4" s="70" t="s">
        <v>40</v>
      </c>
      <c r="F4" s="69" t="s">
        <v>39</v>
      </c>
      <c r="G4" s="70" t="s">
        <v>40</v>
      </c>
      <c r="H4" s="69" t="s">
        <v>39</v>
      </c>
      <c r="I4" s="70" t="s">
        <v>40</v>
      </c>
      <c r="J4" s="69" t="s">
        <v>39</v>
      </c>
      <c r="K4" s="70" t="s">
        <v>40</v>
      </c>
      <c r="L4" s="69" t="s">
        <v>39</v>
      </c>
      <c r="M4" s="70" t="s">
        <v>40</v>
      </c>
    </row>
    <row r="5" spans="1:13" ht="18" customHeight="1" thickTop="1">
      <c r="A5" s="71">
        <v>1</v>
      </c>
      <c r="B5" s="62" t="str">
        <f>INDEX(Recap!$A$18:$O$28,MATCH(1,Recap!$C$18:$C$28,0),1)</f>
        <v>Pearl</v>
      </c>
      <c r="C5" s="63">
        <f>INDEX(Recap!$A$18:$O$28,MATCH(1,Recap!$C$18:$C$28,0),2)</f>
        <v>36.95</v>
      </c>
      <c r="D5" s="62" t="str">
        <f>INDEX(Recap!$A$18:$O$28,MATCH(1,Recap!$E$18:$E$28,0),1)</f>
        <v>Pearl</v>
      </c>
      <c r="E5" s="63">
        <f>INDEX(Recap!$A$18:$O$28,MATCH(1,Recap!$E$18:$E$28,0),4)</f>
        <v>27.45</v>
      </c>
      <c r="F5" s="62" t="str">
        <f>INDEX(Recap!$A$18:$O$28,MATCH(1,Recap!$G$18:$G$28,0),1)</f>
        <v>Pearl</v>
      </c>
      <c r="G5" s="63">
        <f>INDEX(Recap!$A$18:$O$28,MATCH(1,Recap!$G$18:$G$28,0),6)</f>
        <v>26.924999999999997</v>
      </c>
      <c r="H5" s="60" t="str">
        <f>INDEX(Recap!$A$18:$O$28,MATCH(1,Recap!$K$18:$K$28,0),1)</f>
        <v>Pearl</v>
      </c>
      <c r="I5" s="63">
        <f>INDEX(Recap!$A$18:$O$28,MATCH(1,Recap!$K$18:$K$28,0),10)</f>
        <v>91.325</v>
      </c>
      <c r="J5" s="62" t="str">
        <f>INDEX(Recap!$A$18:$O$28,MATCH(1,Recap!$M$18:$M$28,0),1)</f>
        <v>Pearl</v>
      </c>
      <c r="K5" s="63">
        <f>INDEX(Recap!$A$18:$O$28,MATCH(1,Recap!$M$18:$M$28,0),12)</f>
        <v>92</v>
      </c>
      <c r="L5" s="62" t="str">
        <f>INDEX(Recap!$A$18:$O$28,MATCH(1,Recap!$O$18:$O$28,0),1)</f>
        <v>Ridgeland</v>
      </c>
      <c r="M5" s="63">
        <f>INDEX(Recap!$A$18:$O$28,MATCH(1,Recap!$O$18:$O$28,0),14)</f>
        <v>91</v>
      </c>
    </row>
    <row r="6" spans="1:13" ht="18" customHeight="1">
      <c r="A6" s="72">
        <v>2</v>
      </c>
      <c r="B6" s="60" t="str">
        <f>INDEX(Recap!$A$18:$O$28,MATCH(2,Recap!$C$18:$C$28,0),1)</f>
        <v>Ridgeland</v>
      </c>
      <c r="C6" s="63">
        <f>INDEX(Recap!$A$18:$O$28,MATCH(2,Recap!$C$18:$C$28,0),2)</f>
        <v>35.95</v>
      </c>
      <c r="D6" s="62" t="str">
        <f>INDEX(Recap!$A$18:$O$28,MATCH(2,Recap!$E$18:$E$28,0),1)</f>
        <v>Stone</v>
      </c>
      <c r="E6" s="61">
        <f>INDEX(Recap!$A$18:$O$28,MATCH(2,Recap!$E$18:$E$28,0),4)</f>
        <v>25.95</v>
      </c>
      <c r="F6" s="62" t="str">
        <f>INDEX(Recap!$A$18:$O$28,MATCH(2,Recap!$G$18:$G$28,0),1)</f>
        <v>Stone</v>
      </c>
      <c r="G6" s="63">
        <f>INDEX(Recap!$A$18:$O$28,MATCH(2,Recap!$G$18:$G$28,0),6)</f>
        <v>26.175</v>
      </c>
      <c r="H6" s="60" t="str">
        <f>INDEX(Recap!$A$18:$O$28,MATCH(2,Recap!$K$18:$K$28,0),1)</f>
        <v>Stone</v>
      </c>
      <c r="I6" s="63">
        <f>INDEX(Recap!$A$18:$O$28,MATCH(2,Recap!$K$18:$K$28,0),10)</f>
        <v>87.425</v>
      </c>
      <c r="J6" s="60" t="str">
        <f>INDEX(Recap!$A$18:$O$28,MATCH(2,Recap!$M$18:$M$28,0),1)</f>
        <v>Ridgeland</v>
      </c>
      <c r="K6" s="61">
        <f>INDEX(Recap!$A$18:$O$28,MATCH(2,Recap!$M$18:$M$28,0),12)</f>
        <v>88.5</v>
      </c>
      <c r="L6" s="60" t="str">
        <f>INDEX(Recap!$A$18:$O$28,MATCH(2,Recap!$O$18:$O$28,0),1)</f>
        <v>Pearl</v>
      </c>
      <c r="M6" s="61">
        <f>INDEX(Recap!$A$18:$O$28,MATCH(2,Recap!$O$18:$O$28,0),14)</f>
        <v>88</v>
      </c>
    </row>
    <row r="7" spans="1:13" ht="18" customHeight="1">
      <c r="A7" s="72">
        <v>3</v>
      </c>
      <c r="B7" s="60" t="str">
        <f>INDEX(Recap!$A$18:$O$28,MATCH(3,Recap!$C$18:$C$28,0),1)</f>
        <v>Long Beach</v>
      </c>
      <c r="C7" s="63">
        <f>INDEX(Recap!$A$18:$O$28,MATCH(3,Recap!$C$18:$C$28,0),2)</f>
        <v>35.45</v>
      </c>
      <c r="D7" s="62" t="str">
        <f>INDEX(Recap!$A$18:$O$28,MATCH(3,Recap!$E$18:$E$28,0),1)</f>
        <v>Long Beach</v>
      </c>
      <c r="E7" s="61">
        <f>INDEX(Recap!$A$18:$O$28,MATCH(3,Recap!$E$18:$E$28,0),4)</f>
        <v>24.975</v>
      </c>
      <c r="F7" s="62" t="str">
        <f>INDEX(Recap!$A$18:$O$28,MATCH(3,Recap!$G$18:$G$28,0),1)</f>
        <v>Long Beach</v>
      </c>
      <c r="G7" s="63">
        <f>INDEX(Recap!$A$18:$O$28,MATCH(3,Recap!$G$18:$G$28,0),6)</f>
        <v>25.35</v>
      </c>
      <c r="H7" s="60" t="str">
        <f>INDEX(Recap!$A$18:$O$28,MATCH(3,Recap!$K$18:$K$28,0),1)</f>
        <v>Long Beach</v>
      </c>
      <c r="I7" s="63">
        <f>INDEX(Recap!$A$18:$O$28,MATCH(3,Recap!$K$18:$K$28,0),10)</f>
        <v>85.775</v>
      </c>
      <c r="J7" s="60" t="str">
        <f>INDEX(Recap!$A$18:$O$28,MATCH(3,Recap!$M$18:$M$28,0),1)</f>
        <v>Stone</v>
      </c>
      <c r="K7" s="61">
        <f>INDEX(Recap!$A$18:$O$28,MATCH(3,Recap!$M$18:$M$28,0),12)</f>
        <v>86.5</v>
      </c>
      <c r="L7" s="60" t="str">
        <f>INDEX(Recap!$A$18:$O$28,MATCH(3,Recap!$O$18:$O$28,0),1)</f>
        <v>Long Beach</v>
      </c>
      <c r="M7" s="61">
        <f>INDEX(Recap!$A$18:$O$28,MATCH(3,Recap!$O$18:$O$28,0),14)</f>
        <v>87.5</v>
      </c>
    </row>
    <row r="8" spans="1:13" ht="18" customHeight="1">
      <c r="A8" s="72">
        <v>4</v>
      </c>
      <c r="B8" s="60" t="str">
        <f>INDEX(Recap!$A$18:$O$28,MATCH(4,Recap!$C$18:$C$28,0),1)</f>
        <v>Stone</v>
      </c>
      <c r="C8" s="63">
        <f>INDEX(Recap!$A$18:$O$28,MATCH(4,Recap!$C$18:$C$28,0),2)</f>
        <v>35.3</v>
      </c>
      <c r="D8" s="62" t="str">
        <f>INDEX(Recap!$A$18:$O$28,MATCH(4,Recap!$E$18:$E$28,0),1)</f>
        <v>Ridgeland</v>
      </c>
      <c r="E8" s="61">
        <f>INDEX(Recap!$A$18:$O$28,MATCH(4,Recap!$E$18:$E$28,0),4)</f>
        <v>24.45</v>
      </c>
      <c r="F8" s="62" t="str">
        <f>INDEX(Recap!$A$18:$O$28,MATCH(4,Recap!$G$18:$G$28,0),1)</f>
        <v>Ridgeland</v>
      </c>
      <c r="G8" s="63">
        <f>INDEX(Recap!$A$18:$O$28,MATCH(4,Recap!$G$18:$G$28,0),6)</f>
        <v>25.049999999999997</v>
      </c>
      <c r="H8" s="60" t="str">
        <f>INDEX(Recap!$A$18:$O$28,MATCH(4,Recap!$K$18:$K$28,0),1)</f>
        <v>Ridgeland</v>
      </c>
      <c r="I8" s="63">
        <f>INDEX(Recap!$A$18:$O$28,MATCH(4,Recap!$K$18:$K$28,0),10)</f>
        <v>85.45</v>
      </c>
      <c r="J8" s="60" t="str">
        <f>INDEX(Recap!$A$18:$O$28,MATCH(4,Recap!$M$18:$M$28,0),1)</f>
        <v>Long Beach</v>
      </c>
      <c r="K8" s="61">
        <f>INDEX(Recap!$A$18:$O$28,MATCH(4,Recap!$M$18:$M$28,0),12)</f>
        <v>84.5</v>
      </c>
      <c r="L8" s="60" t="str">
        <f>INDEX(Recap!$A$18:$O$28,MATCH(4,Recap!$O$18:$O$28,0),1)</f>
        <v>Wayne County</v>
      </c>
      <c r="M8" s="61">
        <f>INDEX(Recap!$A$18:$O$28,MATCH(4,Recap!$O$18:$O$28,0),14)</f>
        <v>86.5</v>
      </c>
    </row>
    <row r="9" spans="1:13" ht="18" customHeight="1">
      <c r="A9" s="72">
        <v>5</v>
      </c>
      <c r="B9" s="60" t="str">
        <f>INDEX(Recap!$A$18:$O$28,MATCH(5,Recap!$C$18:$C$28,0),1)</f>
        <v>Saltillo</v>
      </c>
      <c r="C9" s="63">
        <f>INDEX(Recap!$A$18:$O$28,MATCH(5,Recap!$C$18:$C$28,0),2)</f>
        <v>30.900000000000002</v>
      </c>
      <c r="D9" s="62" t="str">
        <f>INDEX(Recap!$A$18:$O$28,MATCH(5,Recap!$E$18:$E$28,0),1)</f>
        <v>West Harrison</v>
      </c>
      <c r="E9" s="61">
        <f>INDEX(Recap!$A$18:$O$28,MATCH(5,Recap!$E$18:$E$28,0),4)</f>
        <v>23.7</v>
      </c>
      <c r="F9" s="62" t="str">
        <f>INDEX(Recap!$A$18:$O$28,MATCH(5,Recap!$G$18:$G$28,0),1)</f>
        <v>Saltillo</v>
      </c>
      <c r="G9" s="63">
        <f>INDEX(Recap!$A$18:$O$28,MATCH(5,Recap!$G$18:$G$28,0),6)</f>
        <v>23.85</v>
      </c>
      <c r="H9" s="60" t="str">
        <f>INDEX(Recap!$A$18:$O$28,MATCH(5,Recap!$K$18:$K$28,0),1)</f>
        <v>West Harrison</v>
      </c>
      <c r="I9" s="63">
        <f>INDEX(Recap!$A$18:$O$28,MATCH(5,Recap!$K$18:$K$28,0),10)</f>
        <v>76.9</v>
      </c>
      <c r="J9" s="60" t="str">
        <f>INDEX(Recap!$A$18:$O$28,MATCH(5,Recap!$M$18:$M$28,0),1)</f>
        <v>Wayne County</v>
      </c>
      <c r="K9" s="61">
        <f>INDEX(Recap!$A$18:$O$28,MATCH(5,Recap!$M$18:$M$28,0),12)</f>
        <v>82.5</v>
      </c>
      <c r="L9" s="60" t="str">
        <f>INDEX(Recap!$A$18:$O$28,MATCH(5,Recap!$O$18:$O$28,0),1)</f>
        <v>Stone</v>
      </c>
      <c r="M9" s="61">
        <f>INDEX(Recap!$A$18:$O$28,MATCH(5,Recap!$O$18:$O$28,0),14)</f>
        <v>83</v>
      </c>
    </row>
    <row r="10" spans="1:13" ht="18" customHeight="1">
      <c r="A10" s="72">
        <v>6</v>
      </c>
      <c r="B10" s="60" t="str">
        <f>INDEX(Recap!$A$18:$O$28,MATCH(6,Recap!$C$18:$C$28,0),1)</f>
        <v>West Harrison</v>
      </c>
      <c r="C10" s="63">
        <f>INDEX(Recap!$A$18:$O$28,MATCH(6,Recap!$C$18:$C$28,0),2)</f>
        <v>29.8</v>
      </c>
      <c r="D10" s="62" t="str">
        <f>INDEX(Recap!$A$18:$O$28,MATCH(6,Recap!$E$18:$E$28,0),1)</f>
        <v>New Hope</v>
      </c>
      <c r="E10" s="61">
        <f>INDEX(Recap!$A$18:$O$28,MATCH(6,Recap!$E$18:$E$28,0),4)</f>
        <v>23.174999999999997</v>
      </c>
      <c r="F10" s="62" t="str">
        <f>INDEX(Recap!$A$18:$O$28,MATCH(6,Recap!$G$18:$G$28,0),1)</f>
        <v>West Harrison</v>
      </c>
      <c r="G10" s="63">
        <f>INDEX(Recap!$A$18:$O$28,MATCH(6,Recap!$G$18:$G$28,0),6)</f>
        <v>23.4</v>
      </c>
      <c r="H10" s="60" t="str">
        <f>INDEX(Recap!$A$18:$O$28,MATCH(6,Recap!$K$18:$K$28,0),1)</f>
        <v>Saltillo</v>
      </c>
      <c r="I10" s="63">
        <f>INDEX(Recap!$A$18:$O$28,MATCH(6,Recap!$K$18:$K$28,0),10)</f>
        <v>76.65</v>
      </c>
      <c r="J10" s="60" t="str">
        <f>INDEX(Recap!$A$18:$O$28,MATCH(6,Recap!$M$18:$M$28,0),1)</f>
        <v>West Harrison</v>
      </c>
      <c r="K10" s="61">
        <f>INDEX(Recap!$A$18:$O$28,MATCH(6,Recap!$M$18:$M$28,0),12)</f>
        <v>78.5</v>
      </c>
      <c r="L10" s="60" t="str">
        <f>INDEX(Recap!$A$18:$O$28,MATCH(6,Recap!$O$18:$O$28,0),1)</f>
        <v>West Harrison</v>
      </c>
      <c r="M10" s="61">
        <f>INDEX(Recap!$A$18:$O$28,MATCH(6,Recap!$O$18:$O$28,0),14)</f>
        <v>76</v>
      </c>
    </row>
    <row r="11" spans="1:13" ht="18" customHeight="1">
      <c r="A11" s="72">
        <v>7</v>
      </c>
      <c r="B11" s="60" t="str">
        <f>INDEX(Recap!$A$18:$O$28,MATCH(7,Recap!$C$18:$C$28,0),1)</f>
        <v>New Hope</v>
      </c>
      <c r="C11" s="63">
        <f>INDEX(Recap!$A$18:$O$28,MATCH(7,Recap!$C$18:$C$28,0),2)</f>
        <v>29.3</v>
      </c>
      <c r="D11" s="62" t="str">
        <f>INDEX(Recap!$A$18:$O$28,MATCH(7,Recap!$E$18:$E$28,0),1)</f>
        <v>Wayne County</v>
      </c>
      <c r="E11" s="61">
        <f>INDEX(Recap!$A$18:$O$28,MATCH(7,Recap!$E$18:$E$28,0),4)</f>
        <v>22.8</v>
      </c>
      <c r="F11" s="62" t="str">
        <f>INDEX(Recap!$A$18:$O$28,MATCH(7,Recap!$G$18:$G$28,0),1)</f>
        <v>New Hope</v>
      </c>
      <c r="G11" s="63">
        <f>INDEX(Recap!$A$18:$O$28,MATCH(7,Recap!$G$18:$G$28,0),6)</f>
        <v>23.25</v>
      </c>
      <c r="H11" s="60" t="str">
        <f>INDEX(Recap!$A$18:$O$28,MATCH(7,Recap!$K$18:$K$28,0),1)</f>
        <v>New Hope</v>
      </c>
      <c r="I11" s="63">
        <f>INDEX(Recap!$A$18:$O$28,MATCH(7,Recap!$K$18:$K$28,0),10)</f>
        <v>75.725</v>
      </c>
      <c r="J11" s="60" t="str">
        <f>INDEX(Recap!$A$18:$O$28,MATCH(7,Recap!$M$18:$M$28,0),1)</f>
        <v>Saltillo</v>
      </c>
      <c r="K11" s="61">
        <f>INDEX(Recap!$A$18:$O$28,MATCH(7,Recap!$M$18:$M$28,0),12)</f>
        <v>75.5</v>
      </c>
      <c r="L11" s="60" t="str">
        <f>INDEX(Recap!$A$18:$O$28,MATCH(7,Recap!$O$18:$O$28,0),1)</f>
        <v>Vancleave</v>
      </c>
      <c r="M11" s="61">
        <f>INDEX(Recap!$A$18:$O$28,MATCH(7,Recap!$O$18:$O$28,0),14)</f>
        <v>73.5</v>
      </c>
    </row>
    <row r="12" spans="1:13" ht="18" customHeight="1">
      <c r="A12" s="72">
        <v>8</v>
      </c>
      <c r="B12" s="60" t="str">
        <f>INDEX(Recap!$A$18:$O$28,MATCH(8,Recap!$C$18:$C$28,0),1)</f>
        <v>Wayne County</v>
      </c>
      <c r="C12" s="63">
        <f>INDEX(Recap!$A$18:$O$28,MATCH(8,Recap!$C$18:$C$28,0),2)</f>
        <v>29.05</v>
      </c>
      <c r="D12" s="62" t="str">
        <f>INDEX(Recap!$A$18:$O$28,MATCH(8,Recap!$E$18:$E$28,0),1)</f>
        <v>Saltillo</v>
      </c>
      <c r="E12" s="61">
        <f>INDEX(Recap!$A$18:$O$28,MATCH(8,Recap!$E$18:$E$28,0),4)</f>
        <v>21.9</v>
      </c>
      <c r="F12" s="62" t="str">
        <f>INDEX(Recap!$A$18:$O$28,MATCH(8,Recap!$G$18:$G$28,0),1)</f>
        <v>Wayne County</v>
      </c>
      <c r="G12" s="63">
        <f>INDEX(Recap!$A$18:$O$28,MATCH(8,Recap!$G$18:$G$28,0),6)</f>
        <v>22.799999999999997</v>
      </c>
      <c r="H12" s="60" t="str">
        <f>INDEX(Recap!$A$18:$O$28,MATCH(8,Recap!$K$18:$K$28,0),1)</f>
        <v>Wayne County</v>
      </c>
      <c r="I12" s="63">
        <f>INDEX(Recap!$A$18:$O$28,MATCH(8,Recap!$K$18:$K$28,0),10)</f>
        <v>74.65</v>
      </c>
      <c r="J12" s="60" t="str">
        <f>INDEX(Recap!$A$18:$O$28,MATCH(8,Recap!$M$18:$M$28,0),1)</f>
        <v>New Hope</v>
      </c>
      <c r="K12" s="61">
        <f>INDEX(Recap!$A$18:$O$28,MATCH(8,Recap!$M$18:$M$28,0),12)</f>
        <v>74.5</v>
      </c>
      <c r="L12" s="60" t="str">
        <f>INDEX(Recap!$A$18:$O$28,MATCH(8,Recap!$O$18:$O$28,0),1)</f>
        <v>Saltillo</v>
      </c>
      <c r="M12" s="61">
        <f>INDEX(Recap!$A$18:$O$28,MATCH(8,Recap!$O$18:$O$28,0),14)</f>
        <v>72.5</v>
      </c>
    </row>
    <row r="13" spans="1:13" ht="18" customHeight="1">
      <c r="A13" s="72">
        <v>9</v>
      </c>
      <c r="B13" s="60" t="str">
        <f>INDEX(Recap!$A$18:$O$28,MATCH(9,Recap!$C$18:$C$28,0),1)</f>
        <v>Vancleave</v>
      </c>
      <c r="C13" s="63">
        <f>INDEX(Recap!$A$18:$O$28,MATCH(9,Recap!$C$18:$C$28,0),2)</f>
        <v>28.25</v>
      </c>
      <c r="D13" s="62" t="str">
        <f>INDEX(Recap!$A$18:$O$28,MATCH(9,Recap!$E$18:$E$28,0),1)</f>
        <v>Vancleave</v>
      </c>
      <c r="E13" s="61">
        <f>INDEX(Recap!$A$18:$O$28,MATCH(9,Recap!$E$18:$E$28,0),4)</f>
        <v>21.375</v>
      </c>
      <c r="F13" s="62" t="str">
        <f>INDEX(Recap!$A$18:$O$28,MATCH(9,Recap!$G$18:$G$28,0),1)</f>
        <v>Vancleave</v>
      </c>
      <c r="G13" s="63">
        <f>INDEX(Recap!$A$18:$O$28,MATCH(9,Recap!$G$18:$G$28,0),6)</f>
        <v>22.5</v>
      </c>
      <c r="H13" s="60" t="str">
        <f>INDEX(Recap!$A$18:$O$28,MATCH(9,Recap!$K$18:$K$28,0),1)</f>
        <v>Vancleave</v>
      </c>
      <c r="I13" s="63">
        <f>INDEX(Recap!$A$18:$O$28,MATCH(9,Recap!$K$18:$K$28,0),10)</f>
        <v>72.125</v>
      </c>
      <c r="J13" s="60" t="str">
        <f>INDEX(Recap!$A$18:$O$28,MATCH(9,Recap!$M$18:$M$28,0),1)</f>
        <v>Vancleave</v>
      </c>
      <c r="K13" s="61">
        <f>INDEX(Recap!$A$18:$O$28,MATCH(9,Recap!$M$18:$M$28,0),12)</f>
        <v>73.5</v>
      </c>
      <c r="L13" s="60" t="str">
        <f>INDEX(Recap!$A$18:$O$28,MATCH(9,Recap!$O$18:$O$28,0),1)</f>
        <v>New Hope</v>
      </c>
      <c r="M13" s="61">
        <f>INDEX(Recap!$A$18:$O$28,MATCH(9,Recap!$O$18:$O$28,0),14)</f>
        <v>72</v>
      </c>
    </row>
    <row r="14" spans="1:13" ht="18" customHeight="1" hidden="1">
      <c r="A14" s="72">
        <v>10</v>
      </c>
      <c r="B14" s="60" t="e">
        <f>INDEX(Recap!$A$18:$O$28,MATCH(10,Recap!$C$18:$C$28,0),1)</f>
        <v>#N/A</v>
      </c>
      <c r="C14" s="63" t="e">
        <f>INDEX(Recap!$A$18:$O$28,MATCH(10,Recap!$C$18:$C$28,0),2)</f>
        <v>#N/A</v>
      </c>
      <c r="D14" s="62" t="e">
        <f>INDEX(Recap!$A$18:$O$28,MATCH(10,Recap!$E$18:$E$28,0),1)</f>
        <v>#N/A</v>
      </c>
      <c r="E14" s="61" t="e">
        <f>INDEX(Recap!$A$18:$O$28,MATCH(10,Recap!$E$18:$E$28,0),4)</f>
        <v>#N/A</v>
      </c>
      <c r="F14" s="62" t="e">
        <f>INDEX(Recap!$A$18:$O$28,MATCH(10,Recap!$G$18:$G$28,0),1)</f>
        <v>#N/A</v>
      </c>
      <c r="G14" s="63" t="e">
        <f>INDEX(Recap!$A$18:$O$28,MATCH(10,Recap!$G$18:$G$28,0),6)</f>
        <v>#N/A</v>
      </c>
      <c r="H14" s="60" t="e">
        <f>INDEX(Recap!$A$18:$O$28,MATCH(10,Recap!$K$18:$K$28,0),1)</f>
        <v>#N/A</v>
      </c>
      <c r="I14" s="63" t="e">
        <f>INDEX(Recap!$A$18:$O$28,MATCH(10,Recap!$K$18:$K$28,0),10)</f>
        <v>#N/A</v>
      </c>
      <c r="J14" s="60" t="e">
        <f>INDEX(Recap!$A$18:$O$28,MATCH(10,Recap!$M$18:$M$28,0),1)</f>
        <v>#N/A</v>
      </c>
      <c r="K14" s="61" t="e">
        <f>INDEX(Recap!$A$18:$O$28,MATCH(10,Recap!$M$18:$M$28,0),12)</f>
        <v>#N/A</v>
      </c>
      <c r="L14" s="60" t="e">
        <f>INDEX(Recap!$A$18:$O$28,MATCH(10,Recap!$O$18:$O$28,0),1)</f>
        <v>#N/A</v>
      </c>
      <c r="M14" s="61" t="e">
        <f>INDEX(Recap!$A$18:$O$28,MATCH(10,Recap!$O$18:$O$28,0),14)</f>
        <v>#N/A</v>
      </c>
    </row>
  </sheetData>
  <sheetProtection sheet="1" objects="1" scenarios="1" selectLockedCells="1" selectUnlockedCells="1"/>
  <mergeCells count="7">
    <mergeCell ref="J3:K3"/>
    <mergeCell ref="L3:M3"/>
    <mergeCell ref="H3:I3"/>
    <mergeCell ref="A3:A4"/>
    <mergeCell ref="B3:C3"/>
    <mergeCell ref="D3:E3"/>
    <mergeCell ref="F3:G3"/>
  </mergeCells>
  <printOptions horizontalCentered="1" verticalCentered="1"/>
  <pageMargins left="0" right="0" top="0.25" bottom="0.25" header="0.5" footer="0.5"/>
  <pageSetup fitToHeight="1" fitToWidth="1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8515625" style="0" bestFit="1" customWidth="1"/>
    <col min="2" max="2" width="55.8515625" style="0" customWidth="1"/>
    <col min="3" max="3" width="16.8515625" style="0" bestFit="1" customWidth="1"/>
    <col min="4" max="4" width="9.00390625" style="0" bestFit="1" customWidth="1"/>
    <col min="5" max="5" width="12.28125" style="0" bestFit="1" customWidth="1"/>
    <col min="6" max="6" width="14.7109375" style="0" bestFit="1" customWidth="1"/>
  </cols>
  <sheetData>
    <row r="1" spans="2:6" ht="31.5" customHeight="1" thickBot="1">
      <c r="B1" s="58" t="s">
        <v>42</v>
      </c>
      <c r="E1" s="180" t="str">
        <f>Scores!A3</f>
        <v>CLASS 5A</v>
      </c>
      <c r="F1" s="180"/>
    </row>
    <row r="2" spans="1:6" ht="33.75" customHeight="1" thickTop="1">
      <c r="A2" s="49"/>
      <c r="B2" s="66" t="s">
        <v>36</v>
      </c>
      <c r="C2" s="67" t="s">
        <v>24</v>
      </c>
      <c r="D2" s="67" t="s">
        <v>25</v>
      </c>
      <c r="E2" s="67" t="s">
        <v>26</v>
      </c>
      <c r="F2" s="68" t="s">
        <v>27</v>
      </c>
    </row>
    <row r="3" spans="1:6" ht="23.25">
      <c r="A3" s="73" t="s">
        <v>30</v>
      </c>
      <c r="B3" s="50" t="str">
        <f>INDEX(Recap!$A$19:$O$28,MATCH(4,Recap!$K$19:$K$28,0),1)</f>
        <v>Ridgeland</v>
      </c>
      <c r="C3" s="51">
        <v>0.3416666666666666</v>
      </c>
      <c r="D3" s="52" t="s">
        <v>29</v>
      </c>
      <c r="E3" s="51">
        <v>0.35833333333333334</v>
      </c>
      <c r="F3" s="56">
        <v>0.3666666666666667</v>
      </c>
    </row>
    <row r="4" spans="1:6" ht="23.25">
      <c r="A4" s="73" t="s">
        <v>32</v>
      </c>
      <c r="B4" s="74" t="str">
        <f>INDEX(Recap!$A$19:$O$28,MATCH(2,Recap!$K$19:$K$28,0),1)</f>
        <v>Stone</v>
      </c>
      <c r="C4" s="51">
        <v>0.35</v>
      </c>
      <c r="D4" s="76" t="s">
        <v>31</v>
      </c>
      <c r="E4" s="51">
        <v>0.3666666666666667</v>
      </c>
      <c r="F4" s="56">
        <v>0.375</v>
      </c>
    </row>
    <row r="5" spans="1:6" ht="23.25">
      <c r="A5" s="73" t="s">
        <v>33</v>
      </c>
      <c r="B5" s="50" t="str">
        <f>INDEX(Recap!$A$19:$O$28,MATCH(5,Recap!$K$19:$K$28,0),1)</f>
        <v>West Harrison</v>
      </c>
      <c r="C5" s="51">
        <v>0.35833333333333334</v>
      </c>
      <c r="D5" s="52" t="s">
        <v>29</v>
      </c>
      <c r="E5" s="51">
        <v>0.375</v>
      </c>
      <c r="F5" s="77">
        <v>0.3833333333333333</v>
      </c>
    </row>
    <row r="6" spans="1:6" ht="23.25">
      <c r="A6" s="73" t="s">
        <v>28</v>
      </c>
      <c r="B6" s="50" t="str">
        <f>INDEX(Recap!$A$19:$O$28,MATCH(1,Recap!$K$19:$K$28,0),1)</f>
        <v>Pearl</v>
      </c>
      <c r="C6" s="75">
        <v>0.3666666666666667</v>
      </c>
      <c r="D6" s="52" t="s">
        <v>31</v>
      </c>
      <c r="E6" s="75">
        <v>0.3833333333333333</v>
      </c>
      <c r="F6" s="56">
        <v>0.39166666666666666</v>
      </c>
    </row>
    <row r="7" spans="1:6" ht="23.25">
      <c r="A7" s="73" t="s">
        <v>34</v>
      </c>
      <c r="B7" s="50" t="str">
        <f>INDEX(Recap!$A$19:$O$28,MATCH(3,Recap!$K$19:$K$28,0),1)</f>
        <v>Long Beach</v>
      </c>
      <c r="C7" s="51">
        <v>0.375</v>
      </c>
      <c r="D7" s="52" t="s">
        <v>29</v>
      </c>
      <c r="E7" s="51">
        <v>0.39166666666666666</v>
      </c>
      <c r="F7" s="56">
        <v>0.4</v>
      </c>
    </row>
    <row r="8" spans="1:6" ht="24" thickBot="1">
      <c r="A8" s="73" t="s">
        <v>35</v>
      </c>
      <c r="B8" s="53" t="str">
        <f>INDEX(Recap!$A$19:$O$28,MATCH(6,Recap!$K$19:$K$28,0),1)</f>
        <v>Saltillo</v>
      </c>
      <c r="C8" s="54">
        <v>0.3847222222222222</v>
      </c>
      <c r="D8" s="55" t="s">
        <v>31</v>
      </c>
      <c r="E8" s="54">
        <v>0.4</v>
      </c>
      <c r="F8" s="57">
        <v>0.4083333333333334</v>
      </c>
    </row>
    <row r="9" spans="1:6" ht="24" thickTop="1">
      <c r="A9" s="73"/>
      <c r="B9" s="181" t="s">
        <v>52</v>
      </c>
      <c r="C9" s="182"/>
      <c r="D9" s="182"/>
      <c r="E9" s="182"/>
      <c r="F9" s="99">
        <v>0.4201388888888889</v>
      </c>
    </row>
    <row r="10" spans="1:6" ht="24" thickBot="1">
      <c r="A10" s="73"/>
      <c r="B10" s="183" t="s">
        <v>53</v>
      </c>
      <c r="C10" s="184"/>
      <c r="D10" s="184"/>
      <c r="E10" s="184"/>
      <c r="F10" s="57">
        <v>0.4375</v>
      </c>
    </row>
    <row r="11" ht="13.5" thickTop="1"/>
    <row r="12" spans="2:6" ht="12.75">
      <c r="B12" s="179" t="s">
        <v>37</v>
      </c>
      <c r="C12" s="179"/>
      <c r="D12" s="179"/>
      <c r="E12" s="179"/>
      <c r="F12" s="179"/>
    </row>
    <row r="13" spans="2:6" ht="12.75">
      <c r="B13" s="179"/>
      <c r="C13" s="179"/>
      <c r="D13" s="179"/>
      <c r="E13" s="179"/>
      <c r="F13" s="179"/>
    </row>
    <row r="14" spans="2:6" ht="12.75">
      <c r="B14" s="179"/>
      <c r="C14" s="179"/>
      <c r="D14" s="179"/>
      <c r="E14" s="179"/>
      <c r="F14" s="179"/>
    </row>
  </sheetData>
  <sheetProtection sheet="1" objects="1" scenarios="1" selectLockedCells="1" selectUnlockedCells="1"/>
  <mergeCells count="4">
    <mergeCell ref="B12:F14"/>
    <mergeCell ref="E1:F1"/>
    <mergeCell ref="B9:E9"/>
    <mergeCell ref="B10:E10"/>
  </mergeCells>
  <printOptions horizontalCentered="1" verticalCentered="1"/>
  <pageMargins left="0" right="0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2009-10-24T23:12:38Z</cp:lastPrinted>
  <dcterms:created xsi:type="dcterms:W3CDTF">2005-10-07T16:30:03Z</dcterms:created>
  <dcterms:modified xsi:type="dcterms:W3CDTF">2009-10-26T02:47:44Z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